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9932F720-2B4D-47E2-8A80-17F9DC43C77A}" xr6:coauthVersionLast="47" xr6:coauthVersionMax="47" xr10:uidLastSave="{00000000-0000-0000-0000-000000000000}"/>
  <bookViews>
    <workbookView xWindow="-120" yWindow="-120" windowWidth="29040" windowHeight="15840" activeTab="2"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4"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9" l="1"/>
  <c r="B40" i="9"/>
  <c r="B39" i="9"/>
  <c r="B35" i="9"/>
  <c r="B34" i="8"/>
  <c r="B40" i="8"/>
  <c r="B41" i="8"/>
  <c r="B42" i="8"/>
  <c r="B44" i="8"/>
  <c r="B45" i="7"/>
  <c r="B40" i="7"/>
  <c r="B41" i="7"/>
  <c r="B42" i="7"/>
  <c r="B43" i="7"/>
  <c r="B44" i="7"/>
  <c r="B39" i="7"/>
  <c r="B33" i="7"/>
  <c r="B31" i="7"/>
  <c r="B80" i="1" l="1"/>
  <c r="B54" i="1"/>
  <c r="B53" i="1"/>
  <c r="D54" i="1"/>
  <c r="D53" i="1"/>
  <c r="H38" i="11" l="1"/>
  <c r="H37" i="11"/>
  <c r="D37" i="11"/>
  <c r="D38" i="11"/>
  <c r="H10" i="24" l="1"/>
  <c r="H12" i="24"/>
  <c r="H13" i="24"/>
  <c r="H15" i="24"/>
  <c r="B18" i="24"/>
  <c r="H18" i="24"/>
  <c r="B19" i="24"/>
  <c r="H19" i="24" s="1"/>
  <c r="H20" i="24"/>
  <c r="H22" i="24"/>
  <c r="H25" i="24"/>
  <c r="H26" i="24"/>
  <c r="H27" i="24"/>
  <c r="H28" i="24"/>
  <c r="B30" i="24"/>
  <c r="H30" i="24"/>
  <c r="H31" i="24"/>
  <c r="H33" i="24"/>
  <c r="H34" i="24"/>
  <c r="H35" i="24"/>
  <c r="B36" i="24"/>
  <c r="B55" i="24" s="1"/>
  <c r="D36" i="24"/>
  <c r="F36" i="24"/>
  <c r="H39" i="24"/>
  <c r="H40" i="24"/>
  <c r="H41" i="24"/>
  <c r="H42" i="24"/>
  <c r="H43" i="24"/>
  <c r="H44" i="24"/>
  <c r="H45" i="24"/>
  <c r="H46" i="24"/>
  <c r="H47" i="24"/>
  <c r="B48" i="24"/>
  <c r="D48" i="24"/>
  <c r="F48" i="24"/>
  <c r="H51" i="24"/>
  <c r="H52" i="24"/>
  <c r="B53" i="24"/>
  <c r="D53" i="24"/>
  <c r="F53" i="24"/>
  <c r="H53" i="24"/>
  <c r="F55" i="24" l="1"/>
  <c r="H48" i="24"/>
  <c r="H36" i="24"/>
  <c r="D55" i="24"/>
  <c r="J28" i="6"/>
  <c r="H28" i="2"/>
  <c r="H55" i="24" l="1"/>
  <c r="J41" i="9"/>
  <c r="F41" i="9"/>
  <c r="F14" i="11" l="1"/>
  <c r="F15" i="11"/>
  <c r="F16" i="11"/>
  <c r="F17" i="11"/>
  <c r="F18" i="11"/>
  <c r="F19" i="11"/>
  <c r="F20" i="11"/>
  <c r="F21" i="11"/>
  <c r="F22" i="11"/>
  <c r="F23" i="11"/>
  <c r="F24" i="11"/>
  <c r="F25" i="11"/>
  <c r="F27" i="11"/>
  <c r="F29" i="11"/>
  <c r="F30" i="11"/>
  <c r="F31" i="11"/>
  <c r="F32" i="11"/>
  <c r="F33" i="11"/>
  <c r="J14" i="11"/>
  <c r="J15" i="11"/>
  <c r="J16" i="11"/>
  <c r="J17" i="11"/>
  <c r="J18" i="11"/>
  <c r="J19" i="11"/>
  <c r="J20" i="11"/>
  <c r="J21" i="11"/>
  <c r="J22" i="11"/>
  <c r="J23" i="11"/>
  <c r="J24" i="11"/>
  <c r="J25" i="11"/>
  <c r="J26" i="11"/>
  <c r="F39" i="9"/>
  <c r="J42" i="9"/>
  <c r="J43" i="9"/>
  <c r="J44" i="9"/>
  <c r="J45" i="9"/>
  <c r="J46" i="9"/>
  <c r="J47" i="9"/>
  <c r="J48" i="9"/>
  <c r="J39" i="9"/>
  <c r="J35" i="9"/>
  <c r="J40" i="8"/>
  <c r="J41" i="8"/>
  <c r="J42" i="8"/>
  <c r="J28" i="8"/>
  <c r="J29" i="8"/>
  <c r="J30" i="8"/>
  <c r="J31" i="8"/>
  <c r="J32" i="8"/>
  <c r="J33" i="8"/>
  <c r="F28" i="8"/>
  <c r="F29" i="8"/>
  <c r="F30" i="8"/>
  <c r="F31" i="8"/>
  <c r="F32" i="8"/>
  <c r="F33" i="8"/>
  <c r="F40" i="8"/>
  <c r="F41" i="8"/>
  <c r="F42" i="8"/>
  <c r="F43" i="8"/>
  <c r="J46" i="6"/>
  <c r="J47" i="6"/>
  <c r="F46" i="6"/>
  <c r="F47" i="6"/>
  <c r="F11" i="10" l="1"/>
  <c r="J23" i="10"/>
  <c r="J24" i="10"/>
  <c r="B13" i="2" l="1"/>
  <c r="B14" i="2"/>
  <c r="B37" i="2"/>
  <c r="B41" i="2"/>
  <c r="B43" i="2"/>
  <c r="B44" i="2"/>
  <c r="B45" i="2"/>
  <c r="B46" i="2"/>
  <c r="B51" i="2" l="1"/>
  <c r="B30" i="6" l="1"/>
  <c r="B24" i="23"/>
  <c r="B19" i="6" l="1"/>
  <c r="B18" i="6"/>
  <c r="B25" i="10"/>
  <c r="B55" i="1" l="1"/>
  <c r="D55" i="1"/>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A3" i="13" l="1"/>
  <c r="A3" i="2"/>
  <c r="A3" i="12"/>
  <c r="A3" i="23" l="1"/>
  <c r="A3" i="24"/>
  <c r="A3" i="11"/>
  <c r="A3" i="6"/>
  <c r="A3" i="7"/>
  <c r="A3" i="8"/>
  <c r="A3" i="9"/>
  <c r="A3" i="10"/>
  <c r="D16" i="1" l="1"/>
  <c r="H36" i="6" l="1"/>
  <c r="B16" i="1" l="1"/>
  <c r="H8" i="11" l="1"/>
  <c r="H8" i="9"/>
  <c r="H8" i="10"/>
  <c r="D41" i="2" l="1"/>
  <c r="F35" i="9" l="1"/>
  <c r="F41" i="7"/>
  <c r="J43" i="7" l="1"/>
  <c r="J41" i="7" l="1"/>
  <c r="H13" i="2" l="1"/>
  <c r="H14" i="2"/>
  <c r="H16" i="2"/>
  <c r="J28" i="10" l="1"/>
  <c r="J39" i="8"/>
  <c r="F38" i="11" l="1"/>
  <c r="F37" i="11"/>
  <c r="J33" i="11"/>
  <c r="J32" i="11"/>
  <c r="J31" i="11"/>
  <c r="J30" i="11"/>
  <c r="J29"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F43" i="7" l="1"/>
  <c r="F39" i="8" l="1"/>
  <c r="J13" i="11" l="1"/>
  <c r="F13" i="11"/>
  <c r="J10" i="10"/>
  <c r="F10" i="10"/>
  <c r="J48" i="8"/>
  <c r="J47" i="8"/>
  <c r="J46" i="8"/>
  <c r="J44" i="8"/>
  <c r="J31" i="7"/>
  <c r="J35" i="7"/>
  <c r="J34" i="7"/>
  <c r="F34" i="8"/>
  <c r="F44" i="8"/>
  <c r="F45" i="8"/>
  <c r="F46" i="8"/>
  <c r="F47" i="8"/>
  <c r="F48" i="8"/>
  <c r="F29" i="6"/>
  <c r="B49" i="2" l="1"/>
  <c r="B47"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F49" i="2" s="1"/>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35" i="8" l="1"/>
  <c r="J32" i="7"/>
  <c r="J53" i="6"/>
  <c r="J31" i="6"/>
  <c r="H17" i="2" l="1"/>
  <c r="J17" i="2" s="1"/>
  <c r="H19" i="2"/>
  <c r="J19" i="2" s="1"/>
  <c r="H20" i="2"/>
  <c r="J20" i="2" s="1"/>
  <c r="B21" i="2"/>
  <c r="F21" i="2" s="1"/>
  <c r="H21" i="2"/>
  <c r="H23" i="2"/>
  <c r="J23" i="2" s="1"/>
  <c r="B24" i="2"/>
  <c r="D24" i="2"/>
  <c r="H24" i="2"/>
  <c r="B26" i="2"/>
  <c r="F26" i="2" s="1"/>
  <c r="H26" i="2"/>
  <c r="J26" i="2" s="1"/>
  <c r="H27" i="2"/>
  <c r="J27" i="2" s="1"/>
  <c r="J28" i="2"/>
  <c r="B30" i="2"/>
  <c r="F30" i="2" s="1"/>
  <c r="H30" i="2"/>
  <c r="J30" i="2" s="1"/>
  <c r="J13" i="9"/>
  <c r="F13" i="9"/>
  <c r="J12" i="9"/>
  <c r="F12" i="9"/>
  <c r="F13" i="8"/>
  <c r="J12" i="8"/>
  <c r="F12" i="8"/>
  <c r="J13" i="7"/>
  <c r="J12" i="7"/>
  <c r="F13" i="7"/>
  <c r="F12" i="7"/>
  <c r="H55" i="2"/>
  <c r="J55" i="2" s="1"/>
  <c r="H50" i="2"/>
  <c r="J50" i="2" s="1"/>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J31" i="9"/>
  <c r="F31" i="9"/>
  <c r="F31" i="7"/>
  <c r="G57" i="2"/>
  <c r="J16" i="6"/>
  <c r="F16" i="6"/>
  <c r="B48" i="2"/>
  <c r="F48" i="2" s="1"/>
  <c r="F31" i="6"/>
  <c r="F55" i="2" l="1"/>
  <c r="B57" i="2"/>
  <c r="H45" i="11"/>
  <c r="G45" i="11"/>
  <c r="D45" i="11"/>
  <c r="B45" i="11"/>
  <c r="B40" i="11"/>
  <c r="F40" i="11" s="1"/>
  <c r="H34" i="11"/>
  <c r="D34" i="11"/>
  <c r="D47" i="11" s="1"/>
  <c r="B34" i="11"/>
  <c r="J12" i="11"/>
  <c r="F12" i="11"/>
  <c r="J10" i="11"/>
  <c r="F10" i="11"/>
  <c r="H35" i="10"/>
  <c r="G35" i="10"/>
  <c r="D35" i="10"/>
  <c r="B35" i="10"/>
  <c r="H48" i="2"/>
  <c r="J48" i="2" s="1"/>
  <c r="H13" i="10"/>
  <c r="D13" i="10"/>
  <c r="B13" i="10"/>
  <c r="H54" i="9"/>
  <c r="G54" i="9"/>
  <c r="D54" i="9"/>
  <c r="B54" i="9"/>
  <c r="J53" i="9"/>
  <c r="F53" i="9"/>
  <c r="J52" i="9"/>
  <c r="F52" i="9"/>
  <c r="H49" i="9"/>
  <c r="D49" i="9"/>
  <c r="B49" i="9"/>
  <c r="H36" i="9"/>
  <c r="H56" i="9" s="1"/>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B56" i="9" l="1"/>
  <c r="D56" i="9"/>
  <c r="H56" i="8"/>
  <c r="J49" i="9"/>
  <c r="J36" i="9"/>
  <c r="D56" i="8"/>
  <c r="F13" i="10"/>
  <c r="F49" i="9"/>
  <c r="F36" i="9"/>
  <c r="J36" i="7"/>
  <c r="J13" i="10"/>
  <c r="J49" i="8"/>
  <c r="F34" i="11"/>
  <c r="J34" i="11"/>
  <c r="F36" i="8"/>
  <c r="B56" i="8"/>
  <c r="F36" i="6"/>
  <c r="B50" i="2"/>
  <c r="F50" i="2" s="1"/>
  <c r="H52" i="2"/>
  <c r="F49" i="8"/>
  <c r="D31" i="2"/>
  <c r="D37" i="10"/>
  <c r="B31" i="2"/>
  <c r="B38" i="2" s="1"/>
  <c r="B37" i="10"/>
  <c r="H37" i="10"/>
  <c r="H31" i="2"/>
  <c r="H47" i="11"/>
  <c r="F49" i="7"/>
  <c r="B47" i="11"/>
  <c r="F36" i="7"/>
  <c r="D57" i="6"/>
  <c r="B52" i="2" l="1"/>
  <c r="B59" i="2" s="1"/>
  <c r="F31" i="2"/>
  <c r="J31" i="2"/>
  <c r="D38" i="2"/>
  <c r="D52" i="2"/>
  <c r="H38" i="2"/>
  <c r="F52" i="2" l="1"/>
  <c r="D59" i="2"/>
  <c r="F38" i="2"/>
  <c r="J38" i="2"/>
  <c r="J52" i="2"/>
  <c r="H59" i="2"/>
  <c r="B75" i="1" l="1"/>
  <c r="B77" i="1" s="1"/>
  <c r="D75" i="1"/>
  <c r="D77" i="1" s="1"/>
  <c r="B60" i="1"/>
  <c r="B62" i="1" s="1"/>
  <c r="B68" i="1" s="1"/>
  <c r="B81" i="1" l="1"/>
  <c r="D60" i="1"/>
  <c r="D62" i="1" s="1"/>
  <c r="D68" i="1" s="1"/>
  <c r="D80" i="1" l="1"/>
  <c r="D81" i="1" s="1"/>
  <c r="D82" i="1" s="1"/>
  <c r="B82" i="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<sst xmlns="http://schemas.openxmlformats.org/spreadsheetml/2006/main" count="883" uniqueCount="404">
  <si>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</si>
  <si>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</si>
  <si>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</si>
  <si>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</si>
  <si>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</si>
  <si>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</si>
  <si>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</si>
  <si>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</si>
  <si>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</si>
  <si>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</si>
  <si>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</si>
  <si>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</si>
  <si>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</si>
  <si>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</si>
  <si>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</si>
  <si>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</si>
  <si>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</si>
  <si>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</si>
  <si>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</si>
  <si>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</si>
  <si>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</si>
  <si>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</si>
  <si>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</si>
  <si>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</si>
  <si>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</si>
  <si>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</si>
  <si>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</si>
  <si>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</si>
  <si>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</si>
  <si>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</si>
  <si>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</si>
  <si>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</si>
  <si>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</si>
  <si>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</si>
  <si>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</si>
  <si>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</si>
  <si>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</si>
  <si>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</si>
  <si>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</si>
  <si>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</si>
  <si>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</si>
  <si>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</si>
  <si>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</si>
  <si>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</si>
  <si>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</si>
  <si>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</si>
  <si>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</si>
  <si>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</si>
  <si>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</si>
  <si>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</si>
  <si>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</si>
  <si>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</si>
  <si>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</si>
  <si>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</si>
  <si>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</si>
  <si>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</si>
  <si>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</si>
  <si>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</si>
  <si>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</si>
  <si>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</si>
  <si>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</si>
  <si>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</si>
  <si>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</si>
  <si>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</si>
  <si>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</si>
  <si>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</si>
  <si>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</si>
  <si>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</si>
  <si>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</si>
  <si>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</si>
  <si>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</si>
  <si>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</si>
  <si>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</si>
  <si>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</si>
  <si>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</si>
  <si>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</si>
  <si>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</si>
  <si>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</si>
  <si>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</si>
  <si>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</si>
  <si>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</si>
  <si>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</si>
  <si>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</si>
  <si>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</si>
  <si>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</si>
  <si>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</si>
  <si>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</si>
  <si>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</si>
  <si>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</si>
  <si>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</si>
  <si>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</si>
  <si>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</si>
  <si>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</si>
  <si>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</si>
  <si>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</si>
  <si>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</si>
  <si>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</si>
  <si>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</si>
  <si>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</si>
  <si>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</si>
  <si>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</si>
  <si>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</si>
  <si>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</si>
  <si>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</si>
  <si>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</si>
  <si>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</si>
  <si>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</si>
  <si>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</si>
  <si>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</si>
  <si>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</si>
  <si>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</si>
  <si>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</si>
  <si>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</si>
  <si>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</si>
  <si>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</si>
  <si>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</si>
  <si>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</si>
  <si>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</si>
  <si>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</si>
  <si>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</si>
  <si>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</si>
  <si>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</si>
  <si>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</si>
  <si>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</si>
  <si>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</si>
  <si>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</si>
  <si>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</si>
  <si>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</si>
  <si>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</si>
  <si>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</si>
  <si>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</si>
  <si>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</si>
  <si>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</si>
  <si>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</si>
  <si>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</si>
  <si>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</si>
  <si>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</si>
  <si>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</si>
  <si>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</si>
  <si>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</si>
  <si>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</si>
  <si>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</si>
  <si>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</si>
  <si>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</si>
  <si>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</si>
  <si>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</si>
  <si>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</si>
  <si>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</si>
  <si>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</si>
  <si>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</si>
  <si>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</si>
  <si>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</si>
  <si>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</si>
  <si>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</si>
  <si>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</si>
  <si>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</si>
  <si>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</si>
  <si>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</si>
  <si>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</si>
  <si>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</si>
  <si>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</si>
  <si>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</si>
  <si>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</si>
  <si>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</si>
  <si>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</si>
  <si>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</si>
  <si>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</si>
  <si>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</si>
  <si>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</si>
  <si>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</si>
  <si>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</si>
  <si>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</si>
  <si>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</si>
  <si>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</si>
  <si>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</si>
  <si>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</si>
  <si>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</si>
  <si>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</si>
  <si>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</si>
  <si>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</si>
  <si>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</si>
  <si>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</si>
  <si>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</si>
  <si>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</si>
  <si>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</si>
  <si>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</si>
  <si>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</si>
  <si>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</si>
  <si>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</si>
  <si>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</si>
  <si>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</si>
  <si>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</si>
  <si>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</si>
  <si>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</si>
  <si>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</si>
  <si>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</si>
  <si>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</si>
  <si>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</si>
  <si>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</si>
  <si>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</si>
  <si>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</si>
  <si>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</si>
  <si>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</si>
  <si>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</si>
  <si>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</si>
  <si>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</si>
  <si>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</si>
  <si>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</si>
  <si>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</si>
  <si>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</si>
  <si>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</si>
  <si>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</si>
  <si>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</si>
  <si>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</si>
  <si>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</si>
  <si>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</si>
  <si>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</si>
  <si>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</si>
  <si>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</si>
  <si>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</si>
  <si>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</si>
  <si>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</si>
  <si>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</si>
  <si>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</si>
  <si>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</si>
  <si>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</si>
  <si>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</si>
  <si>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</si>
  <si>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</si>
  <si>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</si>
  <si>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</si>
  <si>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</si>
  <si>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</si>
  <si>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</si>
  <si>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</si>
  <si>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</si>
  <si>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</si>
  <si>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</si>
  <si>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</si>
  <si>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</si>
  <si>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</si>
  <si>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</si>
  <si>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</si>
  <si>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</si>
  <si>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</si>
  <si>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</si>
  <si>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</si>
  <si>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</si>
  <si>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</si>
  <si>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</si>
  <si>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</si>
  <si>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</si>
  <si>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</si>
  <si>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</si>
  <si>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</si>
  <si>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</si>
  <si>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</si>
  <si>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</si>
  <si>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</si>
  <si>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</si>
  <si>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</si>
  <si>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</si>
  <si>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</si>
  <si>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</si>
  <si>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</si>
  <si>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</si>
  <si>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</si>
  <si>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</si>
  <si>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</si>
  <si>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</si>
  <si>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</si>
  <si>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</si>
  <si>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</si>
  <si>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</si>
  <si>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</si>
  <si>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</si>
  <si>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</si>
  <si>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</si>
  <si>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</si>
  <si>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</si>
  <si>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</si>
  <si>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</si>
  <si>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</si>
  <si>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</si>
  <si>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</si>
  <si>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</si>
  <si>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</si>
  <si>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</si>
  <si>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</si>
  <si>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</si>
  <si>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</si>
  <si>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</si>
  <si>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</si>
  <si>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</si>
  <si>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</si>
  <si>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</si>
  <si>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</si>
  <si>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</si>
  <si>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</si>
  <si>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</si>
  <si>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</si>
  <si>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</si>
  <si>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</si>
  <si>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</si>
  <si>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</si>
  <si>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</si>
  <si>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</si>
  <si>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</si>
  <si>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</si>
  <si>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</si>
  <si>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</si>
  <si>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</si>
  <si>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</si>
  <si>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</si>
  <si>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</si>
  <si>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</si>
  <si>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</si>
  <si>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</si>
  <si>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</si>
  <si>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</si>
  <si>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</si>
  <si>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</si>
  <si>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</si>
  <si>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</si>
  <si>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</si>
  <si>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</si>
  <si>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</si>
  <si>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</si>
  <si>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</si>
  <si>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</si>
  <si>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</si>
  <si>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</si>
  <si>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</si>
  <si>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</si>
  <si>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</si>
  <si>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</si>
  <si>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</si>
  <si>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</si>
  <si>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</si>
  <si>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</si>
  <si>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</si>
  <si>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</si>
  <si>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</si>
  <si>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</si>
  <si>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</si>
  <si>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</si>
  <si>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</si>
  <si>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</si>
  <si>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</si>
  <si>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</si>
  <si>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</si>
  <si>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</si>
  <si>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</si>
  <si>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</si>
  <si>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</si>
  <si>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</si>
  <si>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</si>
  <si>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</si>
  <si>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</si>
  <si>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</si>
  <si>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</si>
  <si>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</si>
  <si>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</si>
  <si>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</si>
  <si>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</si>
  <si>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</si>
  <si>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</si>
  <si>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</si>
  <si>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</si>
  <si>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</si>
  <si>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</si>
  <si>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</si>
  <si>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</si>
  <si>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</si>
  <si>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</si>
  <si>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</si>
  <si>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</si>
  <si>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</si>
  <si>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</si>
  <si>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</si>
  <si>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</si>
  <si>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</si>
  <si>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</si>
  <si>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</si>
  <si>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</si>
  <si>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</si>
  <si>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</si>
  <si>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</si>
  <si>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</si>
  <si>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</si>
  <si>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</si>
  <si>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</si>
  <si>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</si>
  <si>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</si>
  <si>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</si>
  <si>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</si>
  <si>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</si>
  <si>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</si>
  <si>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</si>
  <si>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</si>
  <si>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</si>
  <si>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</si>
  <si>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</si>
  <si>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August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</si>
</sst>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165" fontId="3" fillId="0" borderId="1" xfId="1" applyNumberFormat="1" applyFont="1" applyFill="1" applyBorder="1"/>
    <xf numFmtId="43" fontId="3" fillId="0" borderId="1" xfId="1" applyFont="1" applyFill="1" applyBorder="1"/>
    <xf numFmtId="10" fontId="3" fillId="0" borderId="1" xfId="3" applyNumberFormat="1" applyFont="1" applyFill="1" applyBorder="1"/>
    <xf numFmtId="0" fontId="3" fillId="0" borderId="0" xfId="7" applyFont="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Fill="1" applyAlignment="1">
      <alignment vertical="top" wrapText="1"/>
    </xf>
    <xf numFmtId="0" fontId="3" fillId="0" borderId="0" xfId="0" applyFont="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topLeftCell="A4" zoomScaleNormal="100" workbookViewId="0">
      <selection activeCell="H22" sqref="H22"/>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9" t="s">
        <v>0</v>
      </c>
      <c r="B1" s="129"/>
      <c r="C1" s="129"/>
      <c r="D1" s="129"/>
      <c r="E1" s="61"/>
    </row>
    <row r="2" spans="1:7" x14ac:dyDescent="0.25">
      <c r="A2" s="129" t="s">
        <v>281</v>
      </c>
      <c r="B2" s="129"/>
      <c r="C2" s="129"/>
      <c r="D2" s="129"/>
      <c r="E2" s="129"/>
    </row>
    <row r="3" spans="1:7" x14ac:dyDescent="0.25">
      <c r="A3" s="130" t="s">
        <v>403</v>
      </c>
      <c r="B3" s="130"/>
      <c r="C3" s="130"/>
      <c r="D3" s="130"/>
      <c r="E3" s="130"/>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2754687.12</v>
      </c>
      <c r="C8" s="5"/>
      <c r="D8" s="7">
        <v>4629554.47</v>
      </c>
      <c r="E8" s="16" t="s">
        <v>95</v>
      </c>
      <c r="F8" s="45"/>
    </row>
    <row r="9" spans="1:7" x14ac:dyDescent="0.25">
      <c r="A9" s="10" t="s">
        <v>3</v>
      </c>
      <c r="B9" s="5">
        <v>761498.83</v>
      </c>
      <c r="C9" s="5"/>
      <c r="D9" s="5">
        <v>-518890.25</v>
      </c>
      <c r="E9" s="16" t="s">
        <v>96</v>
      </c>
      <c r="F9" s="45"/>
    </row>
    <row r="10" spans="1:7" x14ac:dyDescent="0.25">
      <c r="A10" s="10" t="s">
        <v>4</v>
      </c>
      <c r="B10" s="5">
        <v>24489708.140000001</v>
      </c>
      <c r="C10" s="5"/>
      <c r="D10" s="5">
        <v>30096302.629999999</v>
      </c>
      <c r="E10" s="16" t="s">
        <v>97</v>
      </c>
      <c r="F10" s="46"/>
    </row>
    <row r="11" spans="1:7" x14ac:dyDescent="0.25">
      <c r="A11" s="10" t="s">
        <v>5</v>
      </c>
      <c r="B11" s="5">
        <v>2337.12</v>
      </c>
      <c r="C11" s="5"/>
      <c r="D11" s="5">
        <v>2211.9299999999998</v>
      </c>
      <c r="E11" s="16" t="s">
        <v>97</v>
      </c>
      <c r="F11" s="46"/>
      <c r="G11" s="14"/>
    </row>
    <row r="12" spans="1:7" x14ac:dyDescent="0.25">
      <c r="A12" s="10" t="s">
        <v>6</v>
      </c>
      <c r="B12" s="5">
        <v>6184056.7699999996</v>
      </c>
      <c r="C12" s="5"/>
      <c r="D12" s="5">
        <v>4784263.5999999996</v>
      </c>
      <c r="E12" s="16" t="s">
        <v>99</v>
      </c>
    </row>
    <row r="13" spans="1:7" hidden="1" x14ac:dyDescent="0.25">
      <c r="A13" s="10" t="s">
        <v>259</v>
      </c>
      <c r="B13" s="5">
        <v>0</v>
      </c>
      <c r="C13" s="5"/>
      <c r="D13" s="5">
        <v>0</v>
      </c>
      <c r="E13" s="16" t="s">
        <v>100</v>
      </c>
    </row>
    <row r="14" spans="1:7" x14ac:dyDescent="0.25">
      <c r="A14" s="10" t="s">
        <v>7</v>
      </c>
      <c r="B14" s="5">
        <v>269764.3</v>
      </c>
      <c r="C14" s="5"/>
      <c r="D14" s="5">
        <v>336933.59</v>
      </c>
      <c r="E14" s="56" t="s">
        <v>100</v>
      </c>
    </row>
    <row r="15" spans="1:7" ht="16.5" x14ac:dyDescent="0.35">
      <c r="A15" s="10" t="s">
        <v>12</v>
      </c>
      <c r="B15" s="8">
        <v>60264.49</v>
      </c>
      <c r="C15" s="5"/>
      <c r="D15" s="8">
        <v>79813.36</v>
      </c>
      <c r="E15" s="56" t="s">
        <v>101</v>
      </c>
    </row>
    <row r="16" spans="1:7" ht="16.5" x14ac:dyDescent="0.35">
      <c r="A16" s="30" t="s">
        <v>8</v>
      </c>
      <c r="B16" s="8">
        <f>SUM(B8:B15)</f>
        <v>34522316.770000003</v>
      </c>
      <c r="C16" s="5"/>
      <c r="D16" s="8">
        <f>SUM(D8:D15)</f>
        <v>39410189.330000006</v>
      </c>
    </row>
    <row r="17" spans="1:6" ht="7.5" customHeight="1" x14ac:dyDescent="0.25">
      <c r="B17" s="5"/>
      <c r="C17" s="5"/>
      <c r="D17" s="5"/>
    </row>
    <row r="18" spans="1:6" x14ac:dyDescent="0.25">
      <c r="A18" s="29" t="s">
        <v>9</v>
      </c>
      <c r="B18" s="5"/>
      <c r="C18" s="5"/>
      <c r="D18" s="5"/>
    </row>
    <row r="19" spans="1:6" x14ac:dyDescent="0.25">
      <c r="A19" s="10" t="s">
        <v>13</v>
      </c>
      <c r="B19" s="5">
        <v>15051010</v>
      </c>
      <c r="C19" s="5"/>
      <c r="D19" s="5">
        <v>4116952</v>
      </c>
      <c r="E19" s="56" t="s">
        <v>102</v>
      </c>
    </row>
    <row r="20" spans="1:6" x14ac:dyDescent="0.25">
      <c r="A20" s="10" t="s">
        <v>350</v>
      </c>
      <c r="B20" s="5">
        <v>128942</v>
      </c>
      <c r="C20" s="5"/>
      <c r="D20" s="5">
        <v>128942</v>
      </c>
      <c r="E20" s="16" t="s">
        <v>103</v>
      </c>
    </row>
    <row r="21" spans="1:6" ht="16.5" x14ac:dyDescent="0.35">
      <c r="A21" s="10" t="s">
        <v>10</v>
      </c>
      <c r="B21" s="8">
        <v>54025491.380000003</v>
      </c>
      <c r="C21" s="5"/>
      <c r="D21" s="8">
        <v>54086742.359999999</v>
      </c>
      <c r="E21" s="16" t="s">
        <v>105</v>
      </c>
    </row>
    <row r="22" spans="1:6" ht="16.5" x14ac:dyDescent="0.35">
      <c r="A22" s="30" t="s">
        <v>11</v>
      </c>
      <c r="B22" s="8">
        <f>SUM(B19:B21)</f>
        <v>69205443.379999995</v>
      </c>
      <c r="C22" s="8"/>
      <c r="D22" s="8">
        <f>SUM(D19:D21)</f>
        <v>58332636.359999999</v>
      </c>
      <c r="E22" s="16"/>
      <c r="F22" s="46"/>
    </row>
    <row r="23" spans="1:6" ht="7.5" customHeight="1" x14ac:dyDescent="0.35">
      <c r="A23" s="30"/>
      <c r="B23" s="8"/>
      <c r="C23" s="8"/>
      <c r="D23" s="8"/>
    </row>
    <row r="24" spans="1:6" x14ac:dyDescent="0.25">
      <c r="A24" s="10" t="s">
        <v>279</v>
      </c>
      <c r="B24" s="5">
        <v>4893922</v>
      </c>
      <c r="C24" s="5"/>
      <c r="D24" s="5">
        <v>5515229</v>
      </c>
      <c r="E24" s="16" t="s">
        <v>107</v>
      </c>
    </row>
    <row r="25" spans="1:6" ht="16.5" x14ac:dyDescent="0.35">
      <c r="A25" s="10" t="s">
        <v>293</v>
      </c>
      <c r="B25" s="8">
        <v>1952467</v>
      </c>
      <c r="C25" s="5"/>
      <c r="D25" s="8">
        <v>2631160</v>
      </c>
      <c r="E25" s="56" t="s">
        <v>108</v>
      </c>
    </row>
    <row r="26" spans="1:6" ht="16.5" x14ac:dyDescent="0.35">
      <c r="A26" s="30" t="s">
        <v>290</v>
      </c>
      <c r="B26" s="8">
        <f>SUM(B24:B25)</f>
        <v>6846389</v>
      </c>
      <c r="C26" s="5"/>
      <c r="D26" s="8">
        <f>SUM(D24:D25)</f>
        <v>8146389</v>
      </c>
      <c r="E26" s="57"/>
    </row>
    <row r="27" spans="1:6" ht="7.5" customHeight="1" x14ac:dyDescent="0.35">
      <c r="A27" s="30"/>
      <c r="B27" s="8"/>
      <c r="C27" s="8"/>
      <c r="D27" s="8"/>
    </row>
    <row r="28" spans="1:6" ht="16.5" x14ac:dyDescent="0.35">
      <c r="A28" s="30" t="s">
        <v>379</v>
      </c>
      <c r="B28" s="8">
        <f>+B16+B22+B26</f>
        <v>110574149.15000001</v>
      </c>
      <c r="C28" s="5"/>
      <c r="D28" s="8">
        <f>+D16+D22+D26</f>
        <v>105889214.69</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4050207.74</v>
      </c>
      <c r="C32" s="5"/>
      <c r="D32" s="5">
        <v>970973.29</v>
      </c>
      <c r="E32" s="16" t="s">
        <v>109</v>
      </c>
    </row>
    <row r="33" spans="1:5" x14ac:dyDescent="0.25">
      <c r="A33" s="10" t="s">
        <v>17</v>
      </c>
      <c r="B33" s="5">
        <v>764193.96</v>
      </c>
      <c r="C33" s="5"/>
      <c r="D33" s="5">
        <v>707211.4</v>
      </c>
      <c r="E33" s="16" t="s">
        <v>193</v>
      </c>
    </row>
    <row r="34" spans="1:5" x14ac:dyDescent="0.25">
      <c r="A34" s="10" t="s">
        <v>18</v>
      </c>
      <c r="B34" s="5">
        <v>256449.52</v>
      </c>
      <c r="C34" s="5"/>
      <c r="D34" s="5">
        <v>234991.57</v>
      </c>
      <c r="E34" s="56" t="s">
        <v>260</v>
      </c>
    </row>
    <row r="35" spans="1:5" ht="16.5" x14ac:dyDescent="0.35">
      <c r="A35" s="10" t="s">
        <v>19</v>
      </c>
      <c r="B35" s="8">
        <v>4923473.16</v>
      </c>
      <c r="C35" s="5"/>
      <c r="D35" s="8">
        <v>3741154.86</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9994324.379999999</v>
      </c>
      <c r="C41" s="5"/>
      <c r="D41" s="8">
        <f>SUM(D32:D35)</f>
        <v>5654331.1200000001</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1089589</v>
      </c>
      <c r="C45" s="5"/>
      <c r="D45" s="5">
        <v>1262835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2200000</v>
      </c>
      <c r="C50" s="5"/>
      <c r="D50" s="5">
        <v>3245000</v>
      </c>
      <c r="E50" s="16" t="s">
        <v>276</v>
      </c>
      <c r="F50" s="46"/>
    </row>
    <row r="51" spans="1:6" x14ac:dyDescent="0.25">
      <c r="A51" s="30" t="s">
        <v>267</v>
      </c>
      <c r="B51" s="5">
        <v>11455000</v>
      </c>
      <c r="C51" s="5"/>
      <c r="D51" s="5">
        <v>12550000</v>
      </c>
      <c r="E51" s="16" t="s">
        <v>276</v>
      </c>
      <c r="F51" s="46"/>
    </row>
    <row r="52" spans="1:6" x14ac:dyDescent="0.25">
      <c r="A52" s="30" t="s">
        <v>401</v>
      </c>
      <c r="B52" s="5">
        <v>9735000</v>
      </c>
      <c r="C52" s="5"/>
      <c r="D52" s="5">
        <v>9735000</v>
      </c>
      <c r="E52" s="16" t="s">
        <v>276</v>
      </c>
      <c r="F52" s="46"/>
    </row>
    <row r="53" spans="1:6" x14ac:dyDescent="0.25">
      <c r="A53" s="10" t="s">
        <v>399</v>
      </c>
      <c r="B53" s="5">
        <f>20342.4+17958.71</f>
        <v>38301.11</v>
      </c>
      <c r="C53" s="5"/>
      <c r="D53" s="5">
        <f>26363.03+28883.9</f>
        <v>55246.93</v>
      </c>
      <c r="E53" s="16"/>
      <c r="F53" s="46"/>
    </row>
    <row r="54" spans="1:6" ht="16.5" x14ac:dyDescent="0.35">
      <c r="A54" s="10" t="s">
        <v>402</v>
      </c>
      <c r="B54" s="8">
        <f>749709.82+479064.02</f>
        <v>1228773.8399999999</v>
      </c>
      <c r="C54" s="5"/>
      <c r="D54" s="8">
        <f>430544.63+268266.45</f>
        <v>698811.08000000007</v>
      </c>
      <c r="E54" s="16"/>
      <c r="F54" s="46"/>
    </row>
    <row r="55" spans="1:6" ht="16.5" x14ac:dyDescent="0.35">
      <c r="A55" s="31" t="s">
        <v>400</v>
      </c>
      <c r="B55" s="8">
        <f>SUM(B45:B54)</f>
        <v>25746663.949999999</v>
      </c>
      <c r="C55" s="8"/>
      <c r="D55" s="8">
        <f>SUM(D45:D54)</f>
        <v>27546893.009999998</v>
      </c>
      <c r="F55" s="46"/>
    </row>
    <row r="56" spans="1:6" ht="7.5" customHeight="1" x14ac:dyDescent="0.35">
      <c r="A56" s="30"/>
      <c r="B56" s="8"/>
      <c r="C56" s="8"/>
      <c r="D56" s="8"/>
    </row>
    <row r="57" spans="1:6" ht="16.5" x14ac:dyDescent="0.35">
      <c r="A57" s="10" t="s">
        <v>270</v>
      </c>
      <c r="B57" s="5">
        <v>9292688</v>
      </c>
      <c r="C57" s="8"/>
      <c r="D57" s="5">
        <v>8138573</v>
      </c>
      <c r="E57" s="16" t="s">
        <v>278</v>
      </c>
    </row>
    <row r="58" spans="1:6" ht="16.5" x14ac:dyDescent="0.35">
      <c r="A58" s="10" t="s">
        <v>291</v>
      </c>
      <c r="B58" s="8">
        <v>21083497</v>
      </c>
      <c r="C58" s="8"/>
      <c r="D58" s="8">
        <v>21565923</v>
      </c>
      <c r="E58" s="16" t="s">
        <v>277</v>
      </c>
    </row>
    <row r="59" spans="1:6" ht="7.5" customHeight="1" x14ac:dyDescent="0.35">
      <c r="A59" s="30"/>
      <c r="B59" s="8"/>
      <c r="C59" s="8"/>
      <c r="D59" s="8"/>
    </row>
    <row r="60" spans="1:6" ht="16.5" x14ac:dyDescent="0.35">
      <c r="A60" s="31" t="s">
        <v>272</v>
      </c>
      <c r="B60" s="8">
        <f>+B55+B57+B58</f>
        <v>56122848.950000003</v>
      </c>
      <c r="C60" s="8"/>
      <c r="D60" s="8">
        <f>+D55+D57+D58</f>
        <v>57251389.009999998</v>
      </c>
    </row>
    <row r="61" spans="1:6" ht="7.5" customHeight="1" x14ac:dyDescent="0.35">
      <c r="A61" s="30"/>
      <c r="B61" s="8"/>
      <c r="C61" s="8"/>
      <c r="D61" s="8"/>
    </row>
    <row r="62" spans="1:6" ht="16.5" x14ac:dyDescent="0.35">
      <c r="A62" s="31" t="s">
        <v>28</v>
      </c>
      <c r="B62" s="8">
        <f>+B41+B60</f>
        <v>66117173.329999998</v>
      </c>
      <c r="C62" s="5"/>
      <c r="D62" s="8">
        <f>+D41+D60</f>
        <v>62905720.129999995</v>
      </c>
    </row>
    <row r="63" spans="1:6" ht="7.5" customHeight="1" x14ac:dyDescent="0.25">
      <c r="B63" s="5"/>
      <c r="C63" s="5"/>
      <c r="D63" s="5"/>
    </row>
    <row r="64" spans="1:6" x14ac:dyDescent="0.25">
      <c r="A64" s="10" t="s">
        <v>269</v>
      </c>
      <c r="B64" s="5">
        <v>2331500</v>
      </c>
      <c r="C64" s="5"/>
      <c r="D64" s="5">
        <v>3446688</v>
      </c>
      <c r="E64" s="16" t="s">
        <v>295</v>
      </c>
    </row>
    <row r="65" spans="1:8" ht="16.5" x14ac:dyDescent="0.35">
      <c r="A65" s="10" t="s">
        <v>292</v>
      </c>
      <c r="B65" s="8">
        <v>8798285</v>
      </c>
      <c r="C65" s="5"/>
      <c r="D65" s="8">
        <v>9844902</v>
      </c>
      <c r="E65" s="56" t="s">
        <v>298</v>
      </c>
    </row>
    <row r="66" spans="1:8" ht="16.5" x14ac:dyDescent="0.35">
      <c r="A66" s="31" t="s">
        <v>294</v>
      </c>
      <c r="B66" s="8">
        <f>SUM(B64:B65)</f>
        <v>11129785</v>
      </c>
      <c r="C66" s="5"/>
      <c r="D66" s="8">
        <f>SUM(D64:D65)</f>
        <v>13291590</v>
      </c>
      <c r="E66" s="57"/>
    </row>
    <row r="67" spans="1:8" ht="7.5" customHeight="1" x14ac:dyDescent="0.25">
      <c r="B67" s="5"/>
      <c r="C67" s="5"/>
      <c r="D67" s="5"/>
    </row>
    <row r="68" spans="1:8" ht="16.5" x14ac:dyDescent="0.35">
      <c r="A68" s="31" t="s">
        <v>273</v>
      </c>
      <c r="B68" s="8">
        <f>+B62+B66</f>
        <v>77246958.329999998</v>
      </c>
      <c r="C68" s="5"/>
      <c r="D68" s="8">
        <f>+D62+D66</f>
        <v>76197310.129999995</v>
      </c>
    </row>
    <row r="69" spans="1:8" ht="7.5" customHeight="1" x14ac:dyDescent="0.25">
      <c r="B69" s="5"/>
      <c r="C69" s="5"/>
      <c r="D69" s="5"/>
    </row>
    <row r="70" spans="1:8" x14ac:dyDescent="0.25">
      <c r="A70" s="29" t="s">
        <v>282</v>
      </c>
      <c r="B70" s="5"/>
      <c r="C70" s="5"/>
      <c r="D70" s="5"/>
    </row>
    <row r="71" spans="1:8" x14ac:dyDescent="0.25">
      <c r="A71" s="4" t="s">
        <v>29</v>
      </c>
      <c r="B71" s="5">
        <v>33628721.200000003</v>
      </c>
      <c r="C71" s="5"/>
      <c r="D71" s="5">
        <v>29087196.18</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f>'Revenues, Expenditures, Changes'!D59</f>
        <v>-301530.37999999523</v>
      </c>
      <c r="C75" s="5"/>
      <c r="D75" s="8">
        <f>'Revenues, Expenditures, Changes'!H59</f>
        <v>604708.38000000268</v>
      </c>
    </row>
    <row r="76" spans="1:8" ht="7.5" customHeight="1" x14ac:dyDescent="0.35">
      <c r="B76" s="8"/>
      <c r="C76" s="5"/>
      <c r="D76" s="8"/>
    </row>
    <row r="77" spans="1:8" ht="16.5" x14ac:dyDescent="0.35">
      <c r="A77" s="4" t="s">
        <v>283</v>
      </c>
      <c r="B77" s="9">
        <f>SUM(B71:B76)</f>
        <v>33327190.820000008</v>
      </c>
      <c r="C77" s="5"/>
      <c r="D77" s="9">
        <f>SUM(D71:D76)</f>
        <v>29691904.560000002</v>
      </c>
      <c r="F77" s="46"/>
      <c r="G77" s="14"/>
      <c r="H77" s="15"/>
    </row>
    <row r="78" spans="1:8" x14ac:dyDescent="0.25">
      <c r="B78" s="5"/>
      <c r="C78" s="5"/>
      <c r="D78" s="5"/>
      <c r="H78" s="15"/>
    </row>
    <row r="79" spans="1:8" x14ac:dyDescent="0.25">
      <c r="B79" s="5"/>
      <c r="C79" s="5"/>
      <c r="D79" s="5"/>
    </row>
    <row r="80" spans="1:8" x14ac:dyDescent="0.25">
      <c r="A80" s="92" t="s">
        <v>359</v>
      </c>
      <c r="B80" s="5">
        <f>+B28-B68</f>
        <v>33327190.820000008</v>
      </c>
      <c r="C80" s="5"/>
      <c r="D80" s="5">
        <f>+D28-D68</f>
        <v>29691904.560000002</v>
      </c>
    </row>
    <row r="81" spans="1:4" ht="16.5" x14ac:dyDescent="0.35">
      <c r="A81" s="92" t="s">
        <v>360</v>
      </c>
      <c r="B81" s="83">
        <f>+B77-B80</f>
        <v>0</v>
      </c>
      <c r="C81" s="83"/>
      <c r="D81" s="83">
        <f>+D77-D80</f>
        <v>0</v>
      </c>
    </row>
    <row r="82" spans="1:4" ht="16.5" x14ac:dyDescent="0.35">
      <c r="B82" s="62">
        <f>SUM(B80:B81)</f>
        <v>33327190.820000008</v>
      </c>
      <c r="C82" s="62"/>
      <c r="D82" s="62">
        <f>SUM(D80:D81)</f>
        <v>29691904.560000002</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D28" sqref="D28"/>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August 31, 2024</v>
      </c>
      <c r="B3" s="130"/>
      <c r="C3" s="130"/>
      <c r="D3" s="130"/>
      <c r="E3" s="130"/>
      <c r="F3" s="130"/>
      <c r="G3" s="130"/>
      <c r="H3" s="130"/>
      <c r="I3" s="130"/>
      <c r="J3" s="130"/>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45169</v>
      </c>
      <c r="K7" s="11"/>
      <c r="L7" s="11"/>
    </row>
    <row r="8" spans="1:12" s="1" customFormat="1" x14ac:dyDescent="0.25">
      <c r="A8" s="4"/>
      <c r="B8" s="22" t="s">
        <v>33</v>
      </c>
      <c r="C8" s="56"/>
      <c r="D8" s="28" t="s">
        <v>35</v>
      </c>
      <c r="E8" s="87"/>
      <c r="F8" s="22" t="s">
        <v>33</v>
      </c>
      <c r="G8" s="87"/>
      <c r="H8" s="37">
        <f>+'Revenues, Expenditures, Changes'!H9</f>
        <v>45169</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2922805.79</v>
      </c>
      <c r="E13" s="4"/>
      <c r="F13" s="3">
        <f>+D13/B13</f>
        <v>1.0256322602605132</v>
      </c>
      <c r="G13" s="4"/>
      <c r="H13" s="7">
        <v>2679245.21</v>
      </c>
      <c r="I13" s="4"/>
      <c r="J13" s="3">
        <f>+D13/H13</f>
        <v>1.0909064161394917</v>
      </c>
      <c r="K13" s="11"/>
      <c r="L13" s="11"/>
    </row>
    <row r="14" spans="1:12" s="1" customFormat="1" hidden="1" x14ac:dyDescent="0.25">
      <c r="A14" s="4" t="s">
        <v>41</v>
      </c>
      <c r="B14" s="6"/>
      <c r="C14" s="6"/>
      <c r="D14" s="5"/>
      <c r="E14" s="4"/>
      <c r="F14" s="3" t="e">
        <f t="shared" ref="F14:F33" si="0">+D14/B14</f>
        <v>#DIV/0!</v>
      </c>
      <c r="G14" s="4"/>
      <c r="H14" s="5"/>
      <c r="I14" s="4"/>
      <c r="J14" s="3" t="e">
        <f t="shared" ref="J14:J26" si="1">+D14/H14</f>
        <v>#DIV/0!</v>
      </c>
      <c r="K14" s="11"/>
      <c r="L14" s="11"/>
    </row>
    <row r="15" spans="1:12" s="1" customFormat="1" hidden="1" x14ac:dyDescent="0.25">
      <c r="A15" s="10" t="s">
        <v>42</v>
      </c>
      <c r="B15" s="6">
        <v>0</v>
      </c>
      <c r="C15" s="6"/>
      <c r="D15" s="5">
        <v>0</v>
      </c>
      <c r="E15" s="4"/>
      <c r="F15" s="3" t="e">
        <f t="shared" si="0"/>
        <v>#DIV/0!</v>
      </c>
      <c r="G15" s="4"/>
      <c r="H15" s="5">
        <v>0</v>
      </c>
      <c r="I15" s="4"/>
      <c r="J15" s="3" t="e">
        <f t="shared" si="1"/>
        <v>#DIV/0!</v>
      </c>
      <c r="K15" s="11"/>
      <c r="L15" s="11"/>
    </row>
    <row r="16" spans="1:12" s="1" customFormat="1" hidden="1" x14ac:dyDescent="0.25">
      <c r="A16" s="10" t="s">
        <v>43</v>
      </c>
      <c r="B16" s="6">
        <v>0</v>
      </c>
      <c r="C16" s="6"/>
      <c r="D16" s="5">
        <v>0</v>
      </c>
      <c r="E16" s="4"/>
      <c r="F16" s="3" t="e">
        <f t="shared" si="0"/>
        <v>#DIV/0!</v>
      </c>
      <c r="G16" s="4"/>
      <c r="H16" s="5">
        <v>0</v>
      </c>
      <c r="I16" s="4"/>
      <c r="J16" s="3" t="e">
        <f t="shared" si="1"/>
        <v>#DIV/0!</v>
      </c>
      <c r="K16" s="11"/>
      <c r="L16" s="11"/>
    </row>
    <row r="17" spans="1:12" s="1" customFormat="1" hidden="1" x14ac:dyDescent="0.25">
      <c r="A17" s="4" t="s">
        <v>44</v>
      </c>
      <c r="B17" s="6"/>
      <c r="C17" s="6"/>
      <c r="D17" s="5"/>
      <c r="E17" s="4"/>
      <c r="F17" s="3" t="e">
        <f t="shared" si="0"/>
        <v>#DIV/0!</v>
      </c>
      <c r="G17" s="4"/>
      <c r="H17" s="5"/>
      <c r="I17" s="4"/>
      <c r="J17" s="3" t="e">
        <f t="shared" si="1"/>
        <v>#DIV/0!</v>
      </c>
      <c r="K17" s="11"/>
      <c r="L17" s="11"/>
    </row>
    <row r="18" spans="1:12" s="1" customFormat="1" hidden="1" x14ac:dyDescent="0.25">
      <c r="A18" s="10" t="s">
        <v>42</v>
      </c>
      <c r="B18" s="6">
        <v>0</v>
      </c>
      <c r="C18" s="6"/>
      <c r="D18" s="5">
        <v>0</v>
      </c>
      <c r="E18" s="4"/>
      <c r="F18" s="3" t="e">
        <f t="shared" si="0"/>
        <v>#DIV/0!</v>
      </c>
      <c r="G18" s="4"/>
      <c r="H18" s="5">
        <v>0</v>
      </c>
      <c r="I18" s="4"/>
      <c r="J18" s="3" t="e">
        <f t="shared" si="1"/>
        <v>#DIV/0!</v>
      </c>
      <c r="K18" s="11"/>
      <c r="L18" s="11"/>
    </row>
    <row r="19" spans="1:12" s="1" customFormat="1" hidden="1" x14ac:dyDescent="0.25">
      <c r="A19" s="10" t="s">
        <v>43</v>
      </c>
      <c r="B19" s="6">
        <v>0</v>
      </c>
      <c r="C19" s="6"/>
      <c r="D19" s="5">
        <v>0</v>
      </c>
      <c r="E19" s="4"/>
      <c r="F19" s="3" t="e">
        <f t="shared" si="0"/>
        <v>#DIV/0!</v>
      </c>
      <c r="G19" s="4"/>
      <c r="H19" s="5">
        <v>0</v>
      </c>
      <c r="I19" s="4"/>
      <c r="J19" s="3" t="e">
        <f t="shared" si="1"/>
        <v>#DIV/0!</v>
      </c>
      <c r="K19" s="11"/>
      <c r="L19" s="11"/>
    </row>
    <row r="20" spans="1:12" s="1" customFormat="1" hidden="1" x14ac:dyDescent="0.25">
      <c r="A20" s="4" t="s">
        <v>45</v>
      </c>
      <c r="B20" s="6"/>
      <c r="C20" s="6"/>
      <c r="D20" s="5"/>
      <c r="E20" s="4"/>
      <c r="F20" s="3" t="e">
        <f t="shared" si="0"/>
        <v>#DIV/0!</v>
      </c>
      <c r="G20" s="4"/>
      <c r="H20" s="5"/>
      <c r="I20" s="4"/>
      <c r="J20" s="3" t="e">
        <f t="shared" si="1"/>
        <v>#DIV/0!</v>
      </c>
      <c r="K20" s="11"/>
      <c r="L20" s="11"/>
    </row>
    <row r="21" spans="1:12" s="1" customFormat="1" hidden="1" x14ac:dyDescent="0.25">
      <c r="A21" s="10" t="s">
        <v>42</v>
      </c>
      <c r="B21" s="6">
        <v>0</v>
      </c>
      <c r="C21" s="6"/>
      <c r="D21" s="5">
        <v>0</v>
      </c>
      <c r="E21" s="4"/>
      <c r="F21" s="3" t="e">
        <f t="shared" si="0"/>
        <v>#DIV/0!</v>
      </c>
      <c r="G21" s="4"/>
      <c r="H21" s="5">
        <v>0</v>
      </c>
      <c r="I21" s="4"/>
      <c r="J21" s="3" t="e">
        <f t="shared" si="1"/>
        <v>#DIV/0!</v>
      </c>
      <c r="K21" s="11"/>
      <c r="L21" s="11"/>
    </row>
    <row r="22" spans="1:12" s="1" customFormat="1" hidden="1" x14ac:dyDescent="0.25">
      <c r="A22" s="10" t="s">
        <v>43</v>
      </c>
      <c r="B22" s="6">
        <v>0</v>
      </c>
      <c r="C22" s="6"/>
      <c r="D22" s="5">
        <v>0</v>
      </c>
      <c r="E22" s="4"/>
      <c r="F22" s="3" t="e">
        <f t="shared" si="0"/>
        <v>#DIV/0!</v>
      </c>
      <c r="G22" s="4"/>
      <c r="H22" s="5">
        <v>0</v>
      </c>
      <c r="I22" s="4"/>
      <c r="J22" s="3" t="e">
        <f t="shared" si="1"/>
        <v>#DIV/0!</v>
      </c>
      <c r="K22" s="11"/>
      <c r="L22" s="11"/>
    </row>
    <row r="23" spans="1:12" s="1" customFormat="1" hidden="1" x14ac:dyDescent="0.25">
      <c r="A23" s="29" t="s">
        <v>75</v>
      </c>
      <c r="B23" s="6">
        <v>0</v>
      </c>
      <c r="C23" s="6"/>
      <c r="D23" s="5">
        <v>0</v>
      </c>
      <c r="E23" s="4"/>
      <c r="F23" s="3" t="e">
        <f t="shared" si="0"/>
        <v>#DIV/0!</v>
      </c>
      <c r="G23" s="4"/>
      <c r="H23" s="5"/>
      <c r="I23" s="4"/>
      <c r="J23" s="3" t="e">
        <f t="shared" si="1"/>
        <v>#DIV/0!</v>
      </c>
      <c r="K23" s="11"/>
      <c r="L23" s="11"/>
    </row>
    <row r="24" spans="1:12" s="1" customFormat="1" hidden="1" x14ac:dyDescent="0.25">
      <c r="A24" s="4" t="s">
        <v>46</v>
      </c>
      <c r="B24" s="6">
        <v>0</v>
      </c>
      <c r="C24" s="6"/>
      <c r="D24" s="5">
        <v>0</v>
      </c>
      <c r="E24" s="4"/>
      <c r="F24" s="3" t="e">
        <f t="shared" si="0"/>
        <v>#DIV/0!</v>
      </c>
      <c r="G24" s="4"/>
      <c r="H24" s="5">
        <v>0</v>
      </c>
      <c r="I24" s="4"/>
      <c r="J24" s="3" t="e">
        <f t="shared" si="1"/>
        <v>#DIV/0!</v>
      </c>
      <c r="K24" s="11"/>
      <c r="L24" s="11"/>
    </row>
    <row r="25" spans="1:12" s="1" customFormat="1" x14ac:dyDescent="0.25">
      <c r="A25" s="4" t="s">
        <v>200</v>
      </c>
      <c r="B25" s="6">
        <v>0</v>
      </c>
      <c r="C25" s="6"/>
      <c r="D25" s="5">
        <v>0</v>
      </c>
      <c r="E25" s="4"/>
      <c r="F25" s="3" t="e">
        <f t="shared" si="0"/>
        <v>#DIV/0!</v>
      </c>
      <c r="G25" s="4"/>
      <c r="H25" s="5">
        <v>10247729.6</v>
      </c>
      <c r="I25" s="4"/>
      <c r="J25" s="3">
        <f t="shared" si="1"/>
        <v>0</v>
      </c>
      <c r="K25" s="11"/>
      <c r="L25" s="11"/>
    </row>
    <row r="26" spans="1:12" s="1" customFormat="1" ht="16.5" x14ac:dyDescent="0.35">
      <c r="A26" s="4" t="s">
        <v>47</v>
      </c>
      <c r="B26" s="6">
        <v>0</v>
      </c>
      <c r="C26" s="26"/>
      <c r="D26" s="5">
        <v>125.19</v>
      </c>
      <c r="E26" s="35"/>
      <c r="F26" s="3">
        <v>0</v>
      </c>
      <c r="G26" s="35"/>
      <c r="H26" s="5">
        <v>7.91</v>
      </c>
      <c r="I26" s="4"/>
      <c r="J26" s="3">
        <f t="shared" si="1"/>
        <v>15.826801517067004</v>
      </c>
      <c r="K26" s="11"/>
      <c r="L26" s="11"/>
    </row>
    <row r="27" spans="1:12" s="1" customFormat="1" hidden="1" x14ac:dyDescent="0.25">
      <c r="A27" s="4" t="s">
        <v>64</v>
      </c>
      <c r="B27" s="6">
        <v>0</v>
      </c>
      <c r="C27" s="6"/>
      <c r="D27" s="5">
        <v>0</v>
      </c>
      <c r="E27" s="4"/>
      <c r="F27" s="3" t="e">
        <f t="shared" si="0"/>
        <v>#DIV/0!</v>
      </c>
      <c r="G27" s="4"/>
      <c r="H27" s="5">
        <v>0</v>
      </c>
      <c r="I27" s="4"/>
      <c r="J27" s="3" t="e">
        <f t="shared" ref="J27:J34" si="2">+D27/H27</f>
        <v>#DIV/0!</v>
      </c>
      <c r="K27" s="11"/>
      <c r="L27" s="11"/>
    </row>
    <row r="28" spans="1:12" s="1" customFormat="1" ht="16.5" x14ac:dyDescent="0.35">
      <c r="A28" s="4" t="s">
        <v>74</v>
      </c>
      <c r="B28" s="125">
        <v>0</v>
      </c>
      <c r="C28" s="6"/>
      <c r="D28" s="8">
        <v>556.83000000000004</v>
      </c>
      <c r="E28" s="4"/>
      <c r="F28" s="3">
        <v>0</v>
      </c>
      <c r="G28" s="4"/>
      <c r="H28" s="126">
        <v>0</v>
      </c>
      <c r="I28" s="4"/>
      <c r="J28" s="127">
        <v>0</v>
      </c>
      <c r="K28" s="11"/>
      <c r="L28" s="11"/>
    </row>
    <row r="29" spans="1:12" s="1" customFormat="1" hidden="1" x14ac:dyDescent="0.25">
      <c r="A29" s="4" t="s">
        <v>63</v>
      </c>
      <c r="B29" s="6">
        <v>0</v>
      </c>
      <c r="C29" s="6"/>
      <c r="D29" s="5">
        <v>0</v>
      </c>
      <c r="E29" s="4"/>
      <c r="F29" s="3" t="e">
        <f t="shared" si="0"/>
        <v>#DIV/0!</v>
      </c>
      <c r="G29" s="4"/>
      <c r="H29" s="5">
        <v>0</v>
      </c>
      <c r="I29" s="4"/>
      <c r="J29" s="3" t="e">
        <f t="shared" si="2"/>
        <v>#DIV/0!</v>
      </c>
      <c r="K29" s="11"/>
      <c r="L29" s="11"/>
    </row>
    <row r="30" spans="1:12" s="1" customFormat="1" hidden="1" x14ac:dyDescent="0.25">
      <c r="A30" s="4" t="s">
        <v>51</v>
      </c>
      <c r="B30" s="6"/>
      <c r="C30" s="6"/>
      <c r="D30" s="5"/>
      <c r="E30" s="4"/>
      <c r="F30" s="3" t="e">
        <f t="shared" si="0"/>
        <v>#DIV/0!</v>
      </c>
      <c r="G30" s="4"/>
      <c r="H30" s="5"/>
      <c r="I30" s="4"/>
      <c r="J30" s="3" t="e">
        <f t="shared" si="2"/>
        <v>#DIV/0!</v>
      </c>
      <c r="K30" s="11"/>
      <c r="L30" s="11"/>
    </row>
    <row r="31" spans="1:12" s="1" customFormat="1" hidden="1" x14ac:dyDescent="0.25">
      <c r="A31" s="10" t="s">
        <v>53</v>
      </c>
      <c r="B31" s="6">
        <v>0</v>
      </c>
      <c r="C31" s="6"/>
      <c r="D31" s="5">
        <v>0</v>
      </c>
      <c r="E31" s="4"/>
      <c r="F31" s="3" t="e">
        <f t="shared" si="0"/>
        <v>#DIV/0!</v>
      </c>
      <c r="G31" s="4"/>
      <c r="H31" s="5">
        <v>0</v>
      </c>
      <c r="I31" s="4"/>
      <c r="J31" s="3" t="e">
        <f t="shared" si="2"/>
        <v>#DIV/0!</v>
      </c>
      <c r="K31" s="11"/>
      <c r="L31" s="11"/>
    </row>
    <row r="32" spans="1:12" s="1" customFormat="1" hidden="1" x14ac:dyDescent="0.25">
      <c r="A32" s="10" t="s">
        <v>52</v>
      </c>
      <c r="B32" s="6">
        <v>0</v>
      </c>
      <c r="C32" s="6"/>
      <c r="D32" s="5">
        <v>0</v>
      </c>
      <c r="E32" s="4"/>
      <c r="F32" s="3" t="e">
        <f t="shared" si="0"/>
        <v>#DIV/0!</v>
      </c>
      <c r="G32" s="4"/>
      <c r="H32" s="5">
        <v>0</v>
      </c>
      <c r="I32" s="4"/>
      <c r="J32" s="3" t="e">
        <f t="shared" si="2"/>
        <v>#DIV/0!</v>
      </c>
      <c r="K32" s="11"/>
      <c r="L32" s="11"/>
    </row>
    <row r="33" spans="1:12" s="1" customFormat="1" hidden="1" x14ac:dyDescent="0.25">
      <c r="A33" s="10" t="s">
        <v>54</v>
      </c>
      <c r="B33" s="27">
        <v>0</v>
      </c>
      <c r="C33" s="6"/>
      <c r="D33" s="33">
        <v>0</v>
      </c>
      <c r="E33" s="4"/>
      <c r="F33" s="3" t="e">
        <f t="shared" si="0"/>
        <v>#DIV/0!</v>
      </c>
      <c r="G33" s="4"/>
      <c r="H33" s="33">
        <v>0</v>
      </c>
      <c r="I33" s="4"/>
      <c r="J33" s="3" t="e">
        <f t="shared" si="2"/>
        <v>#DIV/0!</v>
      </c>
      <c r="K33" s="11"/>
      <c r="L33" s="11"/>
    </row>
    <row r="34" spans="1:12" s="1" customFormat="1" ht="16.5" x14ac:dyDescent="0.35">
      <c r="A34" s="56" t="s">
        <v>55</v>
      </c>
      <c r="B34" s="26">
        <f>SUM(B10:B33)</f>
        <v>2849760</v>
      </c>
      <c r="C34" s="6"/>
      <c r="D34" s="8">
        <f>SUM(D10:D33)</f>
        <v>2923487.81</v>
      </c>
      <c r="E34" s="4"/>
      <c r="F34" s="3">
        <f>+D34/B34</f>
        <v>1.0258715856773903</v>
      </c>
      <c r="G34" s="4"/>
      <c r="H34" s="8">
        <f>SUM(H10:H33)</f>
        <v>12926982.719999999</v>
      </c>
      <c r="I34" s="4"/>
      <c r="J34" s="3">
        <f t="shared" si="2"/>
        <v>0.22615391954357006</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f>1045000+1095000</f>
        <v>2140000</v>
      </c>
      <c r="E37" s="4"/>
      <c r="F37" s="3">
        <f>+D37/B37</f>
        <v>1</v>
      </c>
      <c r="G37" s="4"/>
      <c r="H37" s="5">
        <f>1010000+1050000</f>
        <v>2060000</v>
      </c>
      <c r="I37" s="4"/>
      <c r="J37" s="3">
        <v>0</v>
      </c>
      <c r="K37" s="11"/>
      <c r="L37" s="11"/>
    </row>
    <row r="38" spans="1:12" s="1" customFormat="1" ht="16.5" x14ac:dyDescent="0.35">
      <c r="A38" s="4" t="s">
        <v>78</v>
      </c>
      <c r="B38" s="26">
        <v>909760</v>
      </c>
      <c r="C38" s="6"/>
      <c r="D38" s="8">
        <f>17178+322199.5+397136.78</f>
        <v>736514.28</v>
      </c>
      <c r="E38" s="4"/>
      <c r="F38" s="3">
        <f>+D38/B38</f>
        <v>0.8095698645796694</v>
      </c>
      <c r="G38" s="4"/>
      <c r="H38" s="5">
        <f>52528+369449.5</f>
        <v>421977.5</v>
      </c>
      <c r="I38" s="4"/>
      <c r="J38" s="3">
        <v>0</v>
      </c>
      <c r="K38" s="11"/>
      <c r="L38" s="11"/>
    </row>
    <row r="39" spans="1:12" s="49" customFormat="1" ht="17.25" x14ac:dyDescent="0.4">
      <c r="A39" s="4" t="s">
        <v>201</v>
      </c>
      <c r="B39" s="26">
        <v>0</v>
      </c>
      <c r="C39" s="26"/>
      <c r="D39" s="8">
        <v>0</v>
      </c>
      <c r="E39" s="35"/>
      <c r="F39" s="47">
        <v>0</v>
      </c>
      <c r="G39" s="35"/>
      <c r="H39" s="8">
        <v>244883.20000000001</v>
      </c>
      <c r="I39" s="35"/>
      <c r="J39" s="3">
        <v>0</v>
      </c>
      <c r="K39" s="48"/>
      <c r="L39" s="48"/>
    </row>
    <row r="40" spans="1:12" s="1" customFormat="1" ht="16.5" x14ac:dyDescent="0.35">
      <c r="A40" s="56" t="s">
        <v>55</v>
      </c>
      <c r="B40" s="26">
        <f>SUM(B37:B38)</f>
        <v>3049760</v>
      </c>
      <c r="C40" s="6"/>
      <c r="D40" s="8">
        <f>SUM(D37:D39)</f>
        <v>2876514.2800000003</v>
      </c>
      <c r="E40" s="4"/>
      <c r="F40" s="3">
        <f>+D40/B40</f>
        <v>0.9431936545826558</v>
      </c>
      <c r="G40" s="4"/>
      <c r="H40" s="8">
        <f>SUM(H37:H39)</f>
        <v>2726860.7</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-10000000</v>
      </c>
      <c r="I43" s="4"/>
      <c r="J43" s="3">
        <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-10000000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46973.529999999795</v>
      </c>
      <c r="E47" s="4"/>
      <c r="F47" s="3"/>
      <c r="G47" s="4"/>
      <c r="H47" s="89">
        <f>+H34-H40+H45</f>
        <v>200122.01999999955</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049B-46DA-45AA-B288-ABD8D6EDB675}">
  <sheetPr>
    <tabColor rgb="FF92D050"/>
  </sheetPr>
  <dimension ref="A1:J68"/>
  <sheetViews>
    <sheetView topLeftCell="A17" zoomScaleNormal="100" workbookViewId="0">
      <selection activeCell="J53" sqref="J53"/>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August 31, 2024</v>
      </c>
      <c r="B3" s="139"/>
      <c r="C3" s="139"/>
      <c r="D3" s="139"/>
      <c r="E3" s="139"/>
      <c r="F3" s="139"/>
      <c r="G3" s="139"/>
      <c r="H3" s="139"/>
      <c r="I3" s="139"/>
    </row>
    <row r="4" spans="1:10" ht="3.95" customHeight="1" x14ac:dyDescent="0.25"/>
    <row r="5" spans="1:10" x14ac:dyDescent="0.25">
      <c r="A5" s="102" t="s">
        <v>198</v>
      </c>
    </row>
    <row r="6" spans="1:10" s="106" customFormat="1" x14ac:dyDescent="0.25">
      <c r="A6" s="102"/>
      <c r="B6" s="116"/>
      <c r="C6" s="128"/>
      <c r="D6" s="116" t="s">
        <v>218</v>
      </c>
      <c r="E6" s="116"/>
      <c r="F6" s="116" t="s">
        <v>258</v>
      </c>
      <c r="G6" s="128"/>
      <c r="H6" s="116"/>
      <c r="I6" s="128"/>
      <c r="J6" s="102"/>
    </row>
    <row r="7" spans="1:10" s="106" customFormat="1" x14ac:dyDescent="0.25">
      <c r="A7" s="102"/>
      <c r="B7" s="116" t="s">
        <v>90</v>
      </c>
      <c r="C7" s="128"/>
      <c r="D7" s="116" t="s">
        <v>33</v>
      </c>
      <c r="E7" s="116"/>
      <c r="F7" s="116" t="s">
        <v>33</v>
      </c>
      <c r="G7" s="128"/>
      <c r="H7" s="116" t="s">
        <v>32</v>
      </c>
      <c r="I7" s="128"/>
      <c r="J7" s="102"/>
    </row>
    <row r="8" spans="1:10" s="106" customFormat="1" x14ac:dyDescent="0.25">
      <c r="A8" s="102"/>
      <c r="B8" s="115" t="s">
        <v>33</v>
      </c>
      <c r="C8" s="128"/>
      <c r="D8" s="117" t="s">
        <v>219</v>
      </c>
      <c r="E8" s="116"/>
      <c r="F8" s="115" t="s">
        <v>219</v>
      </c>
      <c r="G8" s="128"/>
      <c r="H8" s="115" t="s">
        <v>33</v>
      </c>
      <c r="I8" s="128"/>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4"/>
      <c r="C11" s="103"/>
      <c r="D11" s="103"/>
      <c r="E11" s="103"/>
      <c r="F11" s="103"/>
      <c r="G11" s="102"/>
      <c r="H11" s="103"/>
      <c r="I11" s="102"/>
      <c r="J11" s="102"/>
    </row>
    <row r="12" spans="1:10" s="106" customFormat="1" x14ac:dyDescent="0.25">
      <c r="A12" s="113" t="s">
        <v>93</v>
      </c>
      <c r="B12" s="103">
        <v>0</v>
      </c>
      <c r="C12" s="103"/>
      <c r="D12" s="103">
        <v>-502021</v>
      </c>
      <c r="E12" s="103"/>
      <c r="F12" s="103">
        <v>970383</v>
      </c>
      <c r="G12" s="102"/>
      <c r="H12" s="103">
        <f>+B12+F12</f>
        <v>970383</v>
      </c>
      <c r="I12" s="102"/>
      <c r="J12" s="102"/>
    </row>
    <row r="13" spans="1:10" s="106" customFormat="1" x14ac:dyDescent="0.25">
      <c r="A13" s="113" t="s">
        <v>94</v>
      </c>
      <c r="B13" s="103">
        <v>0</v>
      </c>
      <c r="C13" s="103"/>
      <c r="D13" s="103">
        <v>443209</v>
      </c>
      <c r="E13" s="103"/>
      <c r="F13" s="103">
        <v>1020874</v>
      </c>
      <c r="G13" s="102"/>
      <c r="H13" s="103">
        <f>+B13+F13</f>
        <v>1020874</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3" t="s">
        <v>49</v>
      </c>
      <c r="B15" s="103">
        <v>13741594</v>
      </c>
      <c r="C15" s="103"/>
      <c r="D15" s="103">
        <v>0</v>
      </c>
      <c r="E15" s="103"/>
      <c r="F15" s="103">
        <v>0</v>
      </c>
      <c r="G15" s="102"/>
      <c r="H15" s="103">
        <f>+B15+F15</f>
        <v>13741594</v>
      </c>
      <c r="I15" s="102"/>
      <c r="J15" s="102"/>
    </row>
    <row r="16" spans="1:10" s="106" customFormat="1" hidden="1" x14ac:dyDescent="0.25">
      <c r="A16" s="113"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3" t="s">
        <v>42</v>
      </c>
      <c r="B18" s="103">
        <f>1599976+126720+1196059+161568+69172+1122622</f>
        <v>4276117</v>
      </c>
      <c r="C18" s="103"/>
      <c r="D18" s="103">
        <v>0</v>
      </c>
      <c r="E18" s="103"/>
      <c r="F18" s="103">
        <v>0</v>
      </c>
      <c r="G18" s="102"/>
      <c r="H18" s="103">
        <f>+B18+F18</f>
        <v>4276117</v>
      </c>
      <c r="I18" s="102"/>
      <c r="J18" s="102"/>
    </row>
    <row r="19" spans="1:10" s="106" customFormat="1" x14ac:dyDescent="0.25">
      <c r="A19" s="113" t="s">
        <v>43</v>
      </c>
      <c r="B19" s="103">
        <f>515915+196345+215000+35000+122400+496200+10955</f>
        <v>1591815</v>
      </c>
      <c r="C19" s="103"/>
      <c r="D19" s="103">
        <v>0</v>
      </c>
      <c r="E19" s="103"/>
      <c r="F19" s="103">
        <v>0</v>
      </c>
      <c r="G19" s="102"/>
      <c r="H19" s="103">
        <f>+B19+F19</f>
        <v>1591815</v>
      </c>
      <c r="I19" s="102"/>
      <c r="J19" s="102"/>
    </row>
    <row r="20" spans="1:10" s="106" customFormat="1" x14ac:dyDescent="0.25">
      <c r="A20" s="113"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3" t="s">
        <v>42</v>
      </c>
      <c r="B22" s="103">
        <v>4985352</v>
      </c>
      <c r="C22" s="103"/>
      <c r="D22" s="103">
        <v>0</v>
      </c>
      <c r="E22" s="103"/>
      <c r="F22" s="103">
        <v>0</v>
      </c>
      <c r="G22" s="102"/>
      <c r="H22" s="103">
        <f>+B22+F22</f>
        <v>4985352</v>
      </c>
      <c r="I22" s="102"/>
      <c r="J22" s="102"/>
    </row>
    <row r="23" spans="1:10" s="106" customFormat="1" hidden="1" x14ac:dyDescent="0.25">
      <c r="A23" s="113"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3" t="s">
        <v>42</v>
      </c>
      <c r="B25" s="103">
        <v>-300000</v>
      </c>
      <c r="C25" s="103"/>
      <c r="D25" s="103">
        <v>0</v>
      </c>
      <c r="E25" s="103"/>
      <c r="F25" s="103">
        <v>0</v>
      </c>
      <c r="G25" s="102"/>
      <c r="H25" s="103">
        <f>+B25+F25</f>
        <v>-300000</v>
      </c>
      <c r="I25" s="102"/>
      <c r="J25" s="102"/>
    </row>
    <row r="26" spans="1:10" s="106" customFormat="1" hidden="1" x14ac:dyDescent="0.25">
      <c r="A26" s="113"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3" t="s">
        <v>53</v>
      </c>
      <c r="B33" s="103">
        <v>0</v>
      </c>
      <c r="C33" s="103"/>
      <c r="D33" s="103">
        <v>0</v>
      </c>
      <c r="E33" s="103"/>
      <c r="F33" s="103">
        <v>0</v>
      </c>
      <c r="G33" s="102"/>
      <c r="H33" s="103">
        <f>+B33+F33</f>
        <v>0</v>
      </c>
      <c r="I33" s="102"/>
      <c r="J33" s="102"/>
    </row>
    <row r="34" spans="1:10" s="106" customFormat="1" hidden="1" x14ac:dyDescent="0.25">
      <c r="A34" s="113" t="s">
        <v>52</v>
      </c>
      <c r="B34" s="103">
        <v>0</v>
      </c>
      <c r="C34" s="103"/>
      <c r="D34" s="103">
        <v>0</v>
      </c>
      <c r="E34" s="103"/>
      <c r="F34" s="103">
        <v>0</v>
      </c>
      <c r="G34" s="102"/>
      <c r="H34" s="103">
        <f>+B34+F34</f>
        <v>0</v>
      </c>
      <c r="I34" s="102"/>
      <c r="J34" s="102"/>
    </row>
    <row r="35" spans="1:10" s="106" customFormat="1" ht="16.5" x14ac:dyDescent="0.35">
      <c r="A35" s="113" t="s">
        <v>54</v>
      </c>
      <c r="B35" s="112">
        <v>99663</v>
      </c>
      <c r="C35" s="103"/>
      <c r="D35" s="112">
        <v>596373</v>
      </c>
      <c r="E35" s="103"/>
      <c r="F35" s="107">
        <v>1324832</v>
      </c>
      <c r="G35" s="102"/>
      <c r="H35" s="107">
        <f>+B35+F35</f>
        <v>1424495</v>
      </c>
      <c r="I35" s="102"/>
      <c r="J35" s="102"/>
    </row>
    <row r="36" spans="1:10" s="106" customFormat="1" ht="16.5" x14ac:dyDescent="0.35">
      <c r="A36" s="128" t="s">
        <v>55</v>
      </c>
      <c r="B36" s="110">
        <f>SUM(B10:B35)</f>
        <v>30855999</v>
      </c>
      <c r="C36" s="110"/>
      <c r="D36" s="110">
        <f>SUM(D10:D35)</f>
        <v>537561</v>
      </c>
      <c r="E36" s="110"/>
      <c r="F36" s="110">
        <f>SUM(F10:F35)</f>
        <v>3316089</v>
      </c>
      <c r="G36" s="111"/>
      <c r="H36" s="110">
        <f>SUM(H10:H35)</f>
        <v>34172088</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1184601</v>
      </c>
      <c r="E39" s="103"/>
      <c r="F39" s="103">
        <v>4121395</v>
      </c>
      <c r="G39" s="102"/>
      <c r="H39" s="103">
        <f t="shared" ref="H39:H47" si="0">+B39+F39</f>
        <v>13733295</v>
      </c>
      <c r="I39" s="102"/>
      <c r="J39" s="102"/>
    </row>
    <row r="40" spans="1:10" s="106" customFormat="1" x14ac:dyDescent="0.25">
      <c r="A40" s="102" t="s">
        <v>58</v>
      </c>
      <c r="B40" s="103">
        <v>513009</v>
      </c>
      <c r="C40" s="103"/>
      <c r="D40" s="103">
        <v>0</v>
      </c>
      <c r="E40" s="103"/>
      <c r="F40" s="103">
        <v>-107460</v>
      </c>
      <c r="G40" s="102"/>
      <c r="H40" s="103">
        <f t="shared" si="0"/>
        <v>405549</v>
      </c>
      <c r="I40" s="102"/>
      <c r="J40" s="102"/>
    </row>
    <row r="41" spans="1:10" s="106" customFormat="1" x14ac:dyDescent="0.25">
      <c r="A41" s="102" t="s">
        <v>59</v>
      </c>
      <c r="B41" s="103">
        <v>2883205</v>
      </c>
      <c r="C41" s="103"/>
      <c r="D41" s="103">
        <v>111979</v>
      </c>
      <c r="E41" s="103"/>
      <c r="F41" s="103">
        <v>701603</v>
      </c>
      <c r="G41" s="102"/>
      <c r="H41" s="103">
        <f t="shared" si="0"/>
        <v>3584808</v>
      </c>
      <c r="I41" s="102"/>
      <c r="J41" s="102"/>
    </row>
    <row r="42" spans="1:10" s="106" customFormat="1" x14ac:dyDescent="0.25">
      <c r="A42" s="102" t="s">
        <v>60</v>
      </c>
      <c r="B42" s="103">
        <v>2162465</v>
      </c>
      <c r="C42" s="103"/>
      <c r="D42" s="103">
        <v>121428</v>
      </c>
      <c r="E42" s="103"/>
      <c r="F42" s="103">
        <v>650380</v>
      </c>
      <c r="G42" s="102"/>
      <c r="H42" s="103">
        <f t="shared" si="0"/>
        <v>2812845</v>
      </c>
      <c r="I42" s="102"/>
      <c r="J42" s="102"/>
    </row>
    <row r="43" spans="1:10" s="106" customFormat="1" x14ac:dyDescent="0.25">
      <c r="A43" s="102" t="s">
        <v>61</v>
      </c>
      <c r="B43" s="103">
        <v>5986423</v>
      </c>
      <c r="C43" s="103"/>
      <c r="D43" s="103">
        <v>300533</v>
      </c>
      <c r="E43" s="103"/>
      <c r="F43" s="103">
        <v>1342731</v>
      </c>
      <c r="G43" s="102"/>
      <c r="H43" s="103">
        <f t="shared" si="0"/>
        <v>7329154</v>
      </c>
      <c r="I43" s="102"/>
      <c r="J43" s="102"/>
    </row>
    <row r="44" spans="1:10" s="106" customFormat="1" x14ac:dyDescent="0.25">
      <c r="A44" s="102" t="s">
        <v>62</v>
      </c>
      <c r="B44" s="103">
        <v>4186776</v>
      </c>
      <c r="C44" s="103"/>
      <c r="D44" s="103">
        <v>199403</v>
      </c>
      <c r="E44" s="103"/>
      <c r="F44" s="103">
        <v>954854</v>
      </c>
      <c r="G44" s="102"/>
      <c r="H44" s="103">
        <f t="shared" si="0"/>
        <v>5141630</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-1345611</v>
      </c>
      <c r="E46" s="103"/>
      <c r="F46" s="103">
        <v>-4521673</v>
      </c>
      <c r="G46" s="102"/>
      <c r="H46" s="103">
        <f t="shared" si="0"/>
        <v>0</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28" t="s">
        <v>55</v>
      </c>
      <c r="B48" s="103">
        <f>SUM(B39:B47)</f>
        <v>30032502</v>
      </c>
      <c r="C48" s="103"/>
      <c r="D48" s="103">
        <f>SUM(D39:D47)</f>
        <v>572333</v>
      </c>
      <c r="E48" s="103"/>
      <c r="F48" s="103">
        <f>SUM(F39:F47)</f>
        <v>3141830</v>
      </c>
      <c r="G48" s="102"/>
      <c r="H48" s="103">
        <f>SUM(H39:H47)</f>
        <v>33174332</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09"/>
    </row>
    <row r="53" spans="1:10" s="106" customFormat="1" ht="16.5" x14ac:dyDescent="0.35">
      <c r="A53" s="128"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-34772</v>
      </c>
      <c r="E55" s="105"/>
      <c r="F55" s="104">
        <f>+F36-F48+F53</f>
        <v>174259</v>
      </c>
      <c r="G55" s="105"/>
      <c r="H55" s="104">
        <f>+H36-H48+H53</f>
        <v>555756</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4" zoomScaleNormal="100" workbookViewId="0">
      <selection activeCell="J53" sqref="J53"/>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August 31, 2024</v>
      </c>
      <c r="B3" s="139"/>
      <c r="C3" s="139"/>
      <c r="D3" s="139"/>
      <c r="E3" s="139"/>
      <c r="F3" s="139"/>
      <c r="G3" s="139"/>
      <c r="H3" s="139"/>
      <c r="I3" s="139"/>
    </row>
    <row r="4" spans="1:10" ht="3.95" customHeight="1" x14ac:dyDescent="0.25"/>
    <row r="5" spans="1:10" x14ac:dyDescent="0.25">
      <c r="A5" s="102" t="s">
        <v>69</v>
      </c>
    </row>
    <row r="6" spans="1:10" s="106" customFormat="1" x14ac:dyDescent="0.25">
      <c r="A6" s="102"/>
      <c r="B6" s="116"/>
      <c r="C6" s="118"/>
      <c r="D6" s="116" t="s">
        <v>218</v>
      </c>
      <c r="E6" s="116"/>
      <c r="F6" s="116" t="s">
        <v>258</v>
      </c>
      <c r="G6" s="118"/>
      <c r="H6" s="116"/>
      <c r="I6" s="118"/>
      <c r="J6" s="102"/>
    </row>
    <row r="7" spans="1:10" s="106" customFormat="1" x14ac:dyDescent="0.25">
      <c r="A7" s="102"/>
      <c r="B7" s="118" t="s">
        <v>90</v>
      </c>
      <c r="C7" s="118"/>
      <c r="D7" s="116" t="s">
        <v>33</v>
      </c>
      <c r="E7" s="116"/>
      <c r="F7" s="116" t="s">
        <v>33</v>
      </c>
      <c r="G7" s="118"/>
      <c r="H7" s="116" t="s">
        <v>32</v>
      </c>
      <c r="I7" s="118"/>
      <c r="J7" s="102"/>
    </row>
    <row r="8" spans="1:10" s="106" customFormat="1" x14ac:dyDescent="0.25">
      <c r="A8" s="102"/>
      <c r="B8" s="124" t="s">
        <v>33</v>
      </c>
      <c r="C8" s="118"/>
      <c r="D8" s="117" t="s">
        <v>219</v>
      </c>
      <c r="E8" s="116"/>
      <c r="F8" s="115" t="s">
        <v>219</v>
      </c>
      <c r="G8" s="118"/>
      <c r="H8" s="115" t="s">
        <v>33</v>
      </c>
      <c r="I8" s="118"/>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0"/>
      <c r="D10" s="114">
        <v>0</v>
      </c>
      <c r="E10" s="120"/>
      <c r="F10" s="105">
        <v>0</v>
      </c>
      <c r="G10" s="119"/>
      <c r="H10" s="105">
        <f>+B10+F10</f>
        <v>2447900</v>
      </c>
      <c r="I10" s="119"/>
      <c r="J10" s="102"/>
    </row>
    <row r="11" spans="1:10" s="106" customFormat="1" ht="16.5" x14ac:dyDescent="0.35">
      <c r="A11" s="102" t="s">
        <v>78</v>
      </c>
      <c r="B11" s="123">
        <v>0</v>
      </c>
      <c r="C11" s="120"/>
      <c r="D11" s="121">
        <v>0</v>
      </c>
      <c r="E11" s="121"/>
      <c r="F11" s="121">
        <v>0</v>
      </c>
      <c r="G11" s="119"/>
      <c r="H11" s="121">
        <f>+B11+F11</f>
        <v>0</v>
      </c>
      <c r="I11" s="119"/>
      <c r="J11" s="102"/>
    </row>
    <row r="12" spans="1:10" s="106" customFormat="1" ht="16.5" x14ac:dyDescent="0.35">
      <c r="A12" s="118" t="s">
        <v>55</v>
      </c>
      <c r="B12" s="121">
        <f>SUM(B10:B11)</f>
        <v>2447900</v>
      </c>
      <c r="C12" s="120"/>
      <c r="D12" s="121">
        <f>SUM(D10:D11)</f>
        <v>0</v>
      </c>
      <c r="E12" s="120"/>
      <c r="F12" s="121">
        <f>SUM(F10:F11)</f>
        <v>0</v>
      </c>
      <c r="G12" s="119"/>
      <c r="H12" s="121">
        <f>SUM(H10:H11)</f>
        <v>2447900</v>
      </c>
      <c r="I12" s="119"/>
      <c r="J12" s="102"/>
    </row>
    <row r="13" spans="1:10" s="106" customFormat="1" x14ac:dyDescent="0.25">
      <c r="A13" s="102"/>
      <c r="B13" s="120"/>
      <c r="C13" s="120"/>
      <c r="D13" s="120"/>
      <c r="E13" s="120"/>
      <c r="F13" s="120"/>
      <c r="G13" s="119"/>
      <c r="H13" s="120"/>
      <c r="I13" s="119"/>
      <c r="J13" s="102"/>
    </row>
    <row r="14" spans="1:10" s="106" customFormat="1" x14ac:dyDescent="0.25">
      <c r="A14" s="102" t="s">
        <v>56</v>
      </c>
      <c r="B14" s="120"/>
      <c r="C14" s="120"/>
      <c r="D14" s="120"/>
      <c r="E14" s="120"/>
      <c r="F14" s="120"/>
      <c r="G14" s="119"/>
      <c r="H14" s="120"/>
      <c r="I14" s="119"/>
      <c r="J14" s="102"/>
    </row>
    <row r="15" spans="1:10" s="106" customFormat="1" x14ac:dyDescent="0.25">
      <c r="A15" s="102" t="s">
        <v>79</v>
      </c>
      <c r="B15" s="120">
        <v>567554</v>
      </c>
      <c r="C15" s="120"/>
      <c r="D15" s="120">
        <v>0</v>
      </c>
      <c r="E15" s="120"/>
      <c r="F15" s="120">
        <v>0</v>
      </c>
      <c r="G15" s="119"/>
      <c r="H15" s="120">
        <f t="shared" ref="H15:H27" si="0">+B15+F15</f>
        <v>567554</v>
      </c>
      <c r="I15" s="119"/>
      <c r="J15" s="102"/>
    </row>
    <row r="16" spans="1:10" s="106" customFormat="1" x14ac:dyDescent="0.25">
      <c r="A16" s="102" t="s">
        <v>80</v>
      </c>
      <c r="B16" s="120">
        <v>6905</v>
      </c>
      <c r="C16" s="120"/>
      <c r="D16" s="120">
        <v>-34772</v>
      </c>
      <c r="E16" s="120"/>
      <c r="F16" s="120">
        <v>174259</v>
      </c>
      <c r="G16" s="119"/>
      <c r="H16" s="120">
        <f t="shared" si="0"/>
        <v>181164</v>
      </c>
      <c r="I16" s="119"/>
      <c r="J16" s="102"/>
    </row>
    <row r="17" spans="1:10" s="106" customFormat="1" x14ac:dyDescent="0.25">
      <c r="A17" s="102" t="s">
        <v>81</v>
      </c>
      <c r="B17" s="120">
        <v>192919</v>
      </c>
      <c r="C17" s="120"/>
      <c r="D17" s="120">
        <v>0</v>
      </c>
      <c r="E17" s="120"/>
      <c r="F17" s="120">
        <v>0</v>
      </c>
      <c r="G17" s="119"/>
      <c r="H17" s="120">
        <f t="shared" si="0"/>
        <v>192919</v>
      </c>
      <c r="I17" s="119"/>
      <c r="J17" s="102"/>
    </row>
    <row r="18" spans="1:10" s="106" customFormat="1" x14ac:dyDescent="0.25">
      <c r="A18" s="102" t="s">
        <v>82</v>
      </c>
      <c r="B18" s="120">
        <v>139323</v>
      </c>
      <c r="C18" s="120"/>
      <c r="D18" s="120">
        <v>0</v>
      </c>
      <c r="E18" s="120"/>
      <c r="F18" s="120">
        <v>0</v>
      </c>
      <c r="G18" s="119"/>
      <c r="H18" s="120">
        <f t="shared" si="0"/>
        <v>139323</v>
      </c>
      <c r="I18" s="119"/>
      <c r="J18" s="102"/>
    </row>
    <row r="19" spans="1:10" s="106" customFormat="1" x14ac:dyDescent="0.25">
      <c r="A19" s="102" t="s">
        <v>83</v>
      </c>
      <c r="B19" s="120">
        <v>26850</v>
      </c>
      <c r="C19" s="120"/>
      <c r="D19" s="120">
        <v>0</v>
      </c>
      <c r="E19" s="120"/>
      <c r="F19" s="120">
        <v>0</v>
      </c>
      <c r="G19" s="119"/>
      <c r="H19" s="120">
        <f t="shared" si="0"/>
        <v>26850</v>
      </c>
      <c r="I19" s="119"/>
      <c r="J19" s="102"/>
    </row>
    <row r="20" spans="1:10" s="106" customFormat="1" x14ac:dyDescent="0.25">
      <c r="A20" s="102" t="s">
        <v>88</v>
      </c>
      <c r="B20" s="120">
        <v>11815</v>
      </c>
      <c r="C20" s="120"/>
      <c r="D20" s="120">
        <v>0</v>
      </c>
      <c r="E20" s="120"/>
      <c r="F20" s="120">
        <v>0</v>
      </c>
      <c r="G20" s="119"/>
      <c r="H20" s="120">
        <f t="shared" si="0"/>
        <v>11815</v>
      </c>
      <c r="I20" s="119"/>
      <c r="J20" s="102"/>
    </row>
    <row r="21" spans="1:10" s="106" customFormat="1" x14ac:dyDescent="0.25">
      <c r="A21" s="102" t="s">
        <v>84</v>
      </c>
      <c r="B21" s="120">
        <v>14175</v>
      </c>
      <c r="C21" s="120"/>
      <c r="D21" s="120">
        <v>0</v>
      </c>
      <c r="E21" s="120"/>
      <c r="F21" s="120">
        <v>0</v>
      </c>
      <c r="G21" s="119"/>
      <c r="H21" s="120">
        <f t="shared" si="0"/>
        <v>14175</v>
      </c>
      <c r="I21" s="119"/>
      <c r="J21" s="102"/>
    </row>
    <row r="22" spans="1:10" s="106" customFormat="1" x14ac:dyDescent="0.25">
      <c r="A22" s="102" t="s">
        <v>85</v>
      </c>
      <c r="B22" s="120">
        <v>4000</v>
      </c>
      <c r="C22" s="120"/>
      <c r="D22" s="120">
        <v>0</v>
      </c>
      <c r="E22" s="120"/>
      <c r="F22" s="120">
        <v>0</v>
      </c>
      <c r="G22" s="119"/>
      <c r="H22" s="120">
        <f t="shared" si="0"/>
        <v>4000</v>
      </c>
      <c r="I22" s="119"/>
      <c r="J22" s="102"/>
    </row>
    <row r="23" spans="1:10" s="106" customFormat="1" x14ac:dyDescent="0.25">
      <c r="A23" s="102" t="s">
        <v>86</v>
      </c>
      <c r="B23" s="120">
        <v>3000</v>
      </c>
      <c r="C23" s="120"/>
      <c r="D23" s="120">
        <v>0</v>
      </c>
      <c r="E23" s="120"/>
      <c r="F23" s="120">
        <v>0</v>
      </c>
      <c r="G23" s="119"/>
      <c r="H23" s="120">
        <f t="shared" si="0"/>
        <v>3000</v>
      </c>
      <c r="I23" s="119"/>
      <c r="J23" s="102"/>
    </row>
    <row r="24" spans="1:10" s="106" customFormat="1" x14ac:dyDescent="0.25">
      <c r="A24" s="102" t="s">
        <v>87</v>
      </c>
      <c r="B24" s="120">
        <f>199300+100073</f>
        <v>299373</v>
      </c>
      <c r="C24" s="120"/>
      <c r="D24" s="120">
        <v>0</v>
      </c>
      <c r="E24" s="120"/>
      <c r="F24" s="120">
        <v>0</v>
      </c>
      <c r="G24" s="119"/>
      <c r="H24" s="120">
        <f t="shared" si="0"/>
        <v>299373</v>
      </c>
      <c r="I24" s="119"/>
      <c r="J24" s="102"/>
    </row>
    <row r="25" spans="1:10" s="106" customFormat="1" x14ac:dyDescent="0.25">
      <c r="A25" s="102" t="s">
        <v>63</v>
      </c>
      <c r="B25" s="120">
        <v>42000</v>
      </c>
      <c r="C25" s="120"/>
      <c r="D25" s="120">
        <v>0</v>
      </c>
      <c r="E25" s="120"/>
      <c r="F25" s="120">
        <v>0</v>
      </c>
      <c r="G25" s="119"/>
      <c r="H25" s="120">
        <f t="shared" si="0"/>
        <v>42000</v>
      </c>
      <c r="I25" s="119"/>
      <c r="J25" s="102"/>
    </row>
    <row r="26" spans="1:10" s="106" customFormat="1" x14ac:dyDescent="0.25">
      <c r="A26" s="102" t="s">
        <v>64</v>
      </c>
      <c r="B26" s="120">
        <v>1514880</v>
      </c>
      <c r="C26" s="120"/>
      <c r="D26" s="120">
        <v>0</v>
      </c>
      <c r="E26" s="120"/>
      <c r="F26" s="120">
        <v>0</v>
      </c>
      <c r="G26" s="119"/>
      <c r="H26" s="120">
        <f t="shared" si="0"/>
        <v>1514880</v>
      </c>
      <c r="I26" s="119"/>
      <c r="J26" s="102"/>
    </row>
    <row r="27" spans="1:10" s="106" customFormat="1" ht="16.5" x14ac:dyDescent="0.35">
      <c r="A27" s="102" t="s">
        <v>89</v>
      </c>
      <c r="B27" s="121">
        <v>6603</v>
      </c>
      <c r="C27" s="120"/>
      <c r="D27" s="121">
        <v>0</v>
      </c>
      <c r="E27" s="120"/>
      <c r="F27" s="121">
        <v>0</v>
      </c>
      <c r="G27" s="122"/>
      <c r="H27" s="121">
        <f t="shared" si="0"/>
        <v>6603</v>
      </c>
      <c r="I27" s="119"/>
      <c r="J27" s="102"/>
    </row>
    <row r="28" spans="1:10" s="106" customFormat="1" ht="16.5" x14ac:dyDescent="0.35">
      <c r="A28" s="118" t="s">
        <v>55</v>
      </c>
      <c r="B28" s="121">
        <f>SUM(B15:B27)</f>
        <v>2829397</v>
      </c>
      <c r="C28" s="120"/>
      <c r="D28" s="121">
        <f>SUM(D15:D27)</f>
        <v>-34772</v>
      </c>
      <c r="E28" s="120"/>
      <c r="F28" s="121">
        <f>SUM(F15:F27)</f>
        <v>174259</v>
      </c>
      <c r="G28" s="119"/>
      <c r="H28" s="121">
        <f>SUM(H15:H27)</f>
        <v>3003656</v>
      </c>
      <c r="I28" s="119"/>
      <c r="J28" s="102"/>
    </row>
    <row r="29" spans="1:10" s="102" customFormat="1" ht="3.75" customHeight="1" x14ac:dyDescent="0.2">
      <c r="B29" s="120"/>
      <c r="C29" s="120"/>
      <c r="D29" s="120"/>
      <c r="E29" s="120"/>
      <c r="F29" s="120"/>
      <c r="G29" s="119"/>
      <c r="H29" s="120"/>
      <c r="I29" s="119"/>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09"/>
    </row>
    <row r="33" spans="1:10" s="106" customFormat="1" ht="16.5" x14ac:dyDescent="0.35">
      <c r="A33" s="118" t="s">
        <v>55</v>
      </c>
      <c r="B33" s="107">
        <f>SUM(B31:B32)</f>
        <v>0</v>
      </c>
      <c r="C33" s="107"/>
      <c r="D33" s="107">
        <f>SUM(D31:D32)</f>
        <v>0</v>
      </c>
      <c r="E33" s="107"/>
      <c r="F33" s="107">
        <f>SUM(F31:F32)</f>
        <v>0</v>
      </c>
      <c r="G33" s="108"/>
      <c r="H33" s="107">
        <f>SUM(H31:H32)</f>
        <v>0</v>
      </c>
      <c r="I33" s="102"/>
      <c r="J33" s="102"/>
    </row>
    <row r="34" spans="1:10" s="102" customFormat="1" ht="3.75" customHeight="1" x14ac:dyDescent="0.2">
      <c r="B34" s="120"/>
      <c r="C34" s="120"/>
      <c r="D34" s="120"/>
      <c r="E34" s="120"/>
      <c r="F34" s="120"/>
      <c r="G34" s="119"/>
      <c r="H34" s="120"/>
      <c r="I34" s="119"/>
    </row>
    <row r="35" spans="1:10" s="102" customFormat="1" x14ac:dyDescent="0.35">
      <c r="A35" s="102" t="s">
        <v>396</v>
      </c>
      <c r="B35" s="104">
        <f>+B12-B28+B33</f>
        <v>-381497</v>
      </c>
      <c r="C35" s="105"/>
      <c r="D35" s="104">
        <f>+D12-D28+D33</f>
        <v>34772</v>
      </c>
      <c r="E35" s="105"/>
      <c r="F35" s="104">
        <f>+F12-F28+F33</f>
        <v>-174259</v>
      </c>
      <c r="G35" s="105"/>
      <c r="H35" s="104">
        <f>+H12-H28+H33</f>
        <v>-555756</v>
      </c>
    </row>
    <row r="36" spans="1:10" s="102" customFormat="1" ht="3.75" customHeight="1" x14ac:dyDescent="0.2">
      <c r="B36" s="120"/>
      <c r="C36" s="120"/>
      <c r="D36" s="120"/>
      <c r="E36" s="120"/>
      <c r="F36" s="120"/>
      <c r="G36" s="119"/>
      <c r="H36" s="120"/>
      <c r="I36" s="119"/>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A78" sqref="A78"/>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31" t="s">
        <v>0</v>
      </c>
      <c r="B1" s="131"/>
      <c r="C1" s="131"/>
      <c r="D1" s="131"/>
      <c r="E1" s="131"/>
      <c r="F1" s="131"/>
      <c r="G1" s="131"/>
      <c r="H1" s="131"/>
    </row>
    <row r="2" spans="1:8" x14ac:dyDescent="0.25">
      <c r="A2" s="132" t="s">
        <v>393</v>
      </c>
      <c r="B2" s="132"/>
      <c r="C2" s="132"/>
      <c r="D2" s="132"/>
      <c r="E2" s="132"/>
      <c r="F2" s="132"/>
      <c r="G2" s="132"/>
      <c r="H2" s="132"/>
    </row>
    <row r="3" spans="1:8" x14ac:dyDescent="0.25">
      <c r="A3" s="133" t="str">
        <f>+'Statement of Net Position'!A3:E3</f>
        <v>August 31, 2024</v>
      </c>
      <c r="B3" s="133"/>
      <c r="C3" s="133"/>
      <c r="D3" s="133"/>
      <c r="E3" s="133"/>
      <c r="F3" s="133"/>
      <c r="G3" s="133"/>
      <c r="H3" s="133"/>
    </row>
    <row r="5" spans="1:8" s="41" customFormat="1" ht="18" customHeight="1" x14ac:dyDescent="0.25">
      <c r="A5" s="39" t="s">
        <v>95</v>
      </c>
      <c r="B5" s="135" t="s">
        <v>361</v>
      </c>
      <c r="C5" s="135"/>
      <c r="D5" s="135"/>
      <c r="E5" s="135"/>
      <c r="F5" s="135"/>
      <c r="G5" s="135"/>
      <c r="H5" s="135"/>
    </row>
    <row r="6" spans="1:8" s="41" customFormat="1" ht="18" customHeight="1" x14ac:dyDescent="0.25">
      <c r="A6" s="39" t="s">
        <v>96</v>
      </c>
      <c r="B6" s="135" t="s">
        <v>362</v>
      </c>
      <c r="C6" s="135"/>
      <c r="D6" s="135"/>
      <c r="E6" s="135"/>
      <c r="F6" s="135"/>
      <c r="G6" s="135"/>
      <c r="H6" s="135"/>
    </row>
    <row r="7" spans="1:8" s="41" customFormat="1" ht="18" customHeight="1" x14ac:dyDescent="0.25">
      <c r="A7" s="39" t="s">
        <v>97</v>
      </c>
      <c r="B7" s="58" t="s">
        <v>98</v>
      </c>
      <c r="C7" s="40"/>
      <c r="D7" s="40"/>
      <c r="E7" s="40"/>
      <c r="F7" s="40"/>
      <c r="G7" s="40"/>
      <c r="H7" s="40"/>
    </row>
    <row r="8" spans="1:8" s="41" customFormat="1" ht="18" customHeight="1" x14ac:dyDescent="0.25">
      <c r="A8" s="39" t="s">
        <v>99</v>
      </c>
      <c r="B8" s="135" t="s">
        <v>363</v>
      </c>
      <c r="C8" s="135"/>
      <c r="D8" s="135"/>
      <c r="E8" s="135"/>
      <c r="F8" s="135"/>
      <c r="G8" s="135"/>
      <c r="H8" s="135"/>
    </row>
    <row r="9" spans="1:8" s="41" customFormat="1" ht="36" customHeight="1" x14ac:dyDescent="0.25">
      <c r="A9" s="39"/>
      <c r="B9" s="134" t="s">
        <v>197</v>
      </c>
      <c r="C9" s="134"/>
      <c r="D9" s="134"/>
      <c r="E9" s="134"/>
      <c r="F9" s="134"/>
      <c r="G9" s="134"/>
      <c r="H9" s="134"/>
    </row>
    <row r="10" spans="1:8" s="41" customFormat="1" ht="36" customHeight="1" x14ac:dyDescent="0.25">
      <c r="A10" s="39" t="s">
        <v>100</v>
      </c>
      <c r="B10" s="134" t="s">
        <v>274</v>
      </c>
      <c r="C10" s="134"/>
      <c r="D10" s="134"/>
      <c r="E10" s="134"/>
      <c r="F10" s="134"/>
      <c r="G10" s="134"/>
      <c r="H10" s="134"/>
    </row>
    <row r="11" spans="1:8" s="41" customFormat="1" ht="18" customHeight="1" x14ac:dyDescent="0.25">
      <c r="A11" s="39" t="s">
        <v>101</v>
      </c>
      <c r="B11" s="134" t="s">
        <v>280</v>
      </c>
      <c r="C11" s="134"/>
      <c r="D11" s="134"/>
      <c r="E11" s="134"/>
      <c r="F11" s="134"/>
      <c r="G11" s="134"/>
      <c r="H11" s="134"/>
    </row>
    <row r="12" spans="1:8" s="41" customFormat="1" ht="36" customHeight="1" x14ac:dyDescent="0.25">
      <c r="A12" s="39" t="s">
        <v>102</v>
      </c>
      <c r="B12" s="134" t="s">
        <v>380</v>
      </c>
      <c r="C12" s="134"/>
      <c r="D12" s="134"/>
      <c r="E12" s="134"/>
      <c r="F12" s="134"/>
      <c r="G12" s="134"/>
      <c r="H12" s="134"/>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4" t="s">
        <v>364</v>
      </c>
      <c r="C15" s="134"/>
      <c r="D15" s="134"/>
      <c r="E15" s="134"/>
      <c r="F15" s="134"/>
      <c r="G15" s="134"/>
      <c r="H15" s="134"/>
    </row>
    <row r="16" spans="1:8" s="41" customFormat="1" ht="43.5" customHeight="1" x14ac:dyDescent="0.25">
      <c r="A16" s="42" t="s">
        <v>108</v>
      </c>
      <c r="B16" s="134" t="s">
        <v>351</v>
      </c>
      <c r="C16" s="134"/>
      <c r="D16" s="134"/>
      <c r="E16" s="134"/>
      <c r="F16" s="134"/>
      <c r="G16" s="134"/>
      <c r="H16" s="134"/>
    </row>
    <row r="17" spans="1:8" s="41" customFormat="1" ht="18" customHeight="1" x14ac:dyDescent="0.25">
      <c r="A17" s="39" t="s">
        <v>109</v>
      </c>
      <c r="B17" s="58" t="s">
        <v>253</v>
      </c>
    </row>
    <row r="18" spans="1:8" s="41" customFormat="1" ht="18" customHeight="1" x14ac:dyDescent="0.25">
      <c r="A18" s="39" t="s">
        <v>193</v>
      </c>
      <c r="B18" s="135" t="s">
        <v>352</v>
      </c>
      <c r="C18" s="135"/>
      <c r="D18" s="135"/>
      <c r="E18" s="135"/>
      <c r="F18" s="135"/>
      <c r="G18" s="135"/>
      <c r="H18" s="135"/>
    </row>
    <row r="19" spans="1:8" s="41" customFormat="1" ht="18" customHeight="1" x14ac:dyDescent="0.25">
      <c r="A19" s="42" t="s">
        <v>260</v>
      </c>
      <c r="B19" s="135" t="s">
        <v>110</v>
      </c>
      <c r="C19" s="135"/>
      <c r="D19" s="135"/>
      <c r="E19" s="135"/>
      <c r="F19" s="135"/>
      <c r="G19" s="135"/>
      <c r="H19" s="135"/>
    </row>
    <row r="20" spans="1:8" s="41" customFormat="1" ht="36" customHeight="1" x14ac:dyDescent="0.25">
      <c r="A20" s="42" t="s">
        <v>262</v>
      </c>
      <c r="B20" s="134" t="s">
        <v>247</v>
      </c>
      <c r="C20" s="134"/>
      <c r="D20" s="134"/>
      <c r="E20" s="134"/>
      <c r="F20" s="134"/>
      <c r="G20" s="134"/>
      <c r="H20" s="134"/>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4" t="s">
        <v>299</v>
      </c>
      <c r="C25" s="134"/>
      <c r="D25" s="134"/>
      <c r="E25" s="134"/>
      <c r="F25" s="134"/>
      <c r="G25" s="134"/>
      <c r="H25" s="134"/>
    </row>
    <row r="26" spans="1:8" ht="36" customHeight="1" x14ac:dyDescent="0.25">
      <c r="A26" s="43" t="s">
        <v>298</v>
      </c>
      <c r="B26" s="134" t="s">
        <v>300</v>
      </c>
      <c r="C26" s="134"/>
      <c r="D26" s="134"/>
      <c r="E26" s="134"/>
      <c r="F26" s="134"/>
      <c r="G26" s="134"/>
      <c r="H26" s="134"/>
    </row>
    <row r="27" spans="1:8" ht="36" customHeight="1" x14ac:dyDescent="0.25">
      <c r="A27" s="43"/>
    </row>
  </sheetData>
  <mergeCells count="17">
    <mergeCell ref="B26:H26"/>
    <mergeCell ref="B5:H5"/>
    <mergeCell ref="B6:H6"/>
    <mergeCell ref="B19:H19"/>
    <mergeCell ref="B10:H10"/>
    <mergeCell ref="B8:H8"/>
    <mergeCell ref="B25:H25"/>
    <mergeCell ref="B15:H15"/>
    <mergeCell ref="B20:H20"/>
    <mergeCell ref="B16:H16"/>
    <mergeCell ref="B18:H18"/>
    <mergeCell ref="A1:H1"/>
    <mergeCell ref="A2:H2"/>
    <mergeCell ref="A3:H3"/>
    <mergeCell ref="B12:H12"/>
    <mergeCell ref="B9:H9"/>
    <mergeCell ref="B11:H11"/>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abSelected="1" topLeftCell="A40" zoomScaleNormal="100" workbookViewId="0">
      <selection activeCell="D63" sqref="D63"/>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10.7109375" style="4" customWidth="1"/>
    <col min="11" max="11" width="3.85546875" style="56" bestFit="1" customWidth="1"/>
    <col min="13" max="13" width="11.28515625"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+'Statement of Net Position'!A3:E3</f>
        <v>August 31, 2024</v>
      </c>
      <c r="B3" s="130"/>
      <c r="C3" s="130"/>
      <c r="D3" s="130"/>
      <c r="E3" s="130"/>
      <c r="F3" s="130"/>
      <c r="G3" s="130"/>
      <c r="H3" s="130"/>
      <c r="I3" s="130"/>
      <c r="J3" s="130"/>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45169</v>
      </c>
    </row>
    <row r="9" spans="1:11" x14ac:dyDescent="0.25">
      <c r="B9" s="22" t="s">
        <v>33</v>
      </c>
      <c r="C9" s="56"/>
      <c r="D9" s="23" t="s">
        <v>35</v>
      </c>
      <c r="E9" s="56"/>
      <c r="F9" s="22" t="s">
        <v>33</v>
      </c>
      <c r="G9" s="56"/>
      <c r="H9" s="24">
        <v>45169</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5334445.84</v>
      </c>
      <c r="F11" s="3">
        <f t="shared" ref="F11:F23" si="0">+(D11-B11)/B11+1</f>
        <v>0.9999999700062574</v>
      </c>
      <c r="H11" s="32">
        <f>+'Rev, Exp, Cha Unrestricted'!H10+'Rev, Exp, Cha Federal Restrict'!H10+'Rev, Exp, Cha State Restr '!H10+'Rev, Exp, Cha Local Restr '!H10+'Rev, Exp, Cha Debt Service'!H10</f>
        <v>5102088</v>
      </c>
      <c r="J11" s="3">
        <f>+(D11-H11)/H11+1</f>
        <v>1.0455417154702153</v>
      </c>
      <c r="K11" s="16" t="s">
        <v>111</v>
      </c>
    </row>
    <row r="12" spans="1:11" x14ac:dyDescent="0.25">
      <c r="A12" s="4" t="s">
        <v>92</v>
      </c>
      <c r="B12" s="25"/>
      <c r="C12" s="6"/>
      <c r="D12" s="32"/>
      <c r="F12" s="3"/>
      <c r="H12" s="32"/>
      <c r="J12" s="3"/>
    </row>
    <row r="13" spans="1:11" x14ac:dyDescent="0.25">
      <c r="A13" s="10" t="s">
        <v>93</v>
      </c>
      <c r="B13" s="5">
        <f>+'Rev, Exp, Cha Unrestricted'!B12</f>
        <v>1472404</v>
      </c>
      <c r="C13" s="6"/>
      <c r="D13" s="5">
        <f>+'Rev, Exp, Cha Unrestricted'!D12</f>
        <v>970387</v>
      </c>
      <c r="F13" s="3">
        <f t="shared" si="0"/>
        <v>0.65904941850198728</v>
      </c>
      <c r="H13" s="5">
        <f>+'Rev, Exp, Cha Unrestricted'!H12</f>
        <v>364341.4</v>
      </c>
      <c r="J13" s="3">
        <f>+(D13-H13)/H13+1</f>
        <v>2.6634003162967481</v>
      </c>
      <c r="K13" s="16" t="s">
        <v>112</v>
      </c>
    </row>
    <row r="14" spans="1:11" x14ac:dyDescent="0.25">
      <c r="A14" s="10" t="s">
        <v>94</v>
      </c>
      <c r="B14" s="5">
        <f>+'Rev, Exp, Cha Unrestricted'!B13</f>
        <v>577665</v>
      </c>
      <c r="C14" s="6"/>
      <c r="D14" s="5">
        <f>+'Rev, Exp, Cha Unrestricted'!D13</f>
        <v>1020874.53</v>
      </c>
      <c r="F14" s="3">
        <f t="shared" si="0"/>
        <v>1.7672431772740258</v>
      </c>
      <c r="H14" s="5">
        <f>+'Rev, Exp, Cha Unrestricted'!H13</f>
        <v>564032.47</v>
      </c>
      <c r="J14" s="3">
        <f>+(D14-H14)/H14+1</f>
        <v>1.8099570225097148</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14092168.970000001</v>
      </c>
      <c r="F16" s="3">
        <f t="shared" si="0"/>
        <v>1.0255119580741507</v>
      </c>
      <c r="H16" s="5">
        <f>+'Rev, Exp, Cha Unrestricted'!H15+'Rev, Exp, Cha Federal Restrict'!H15+'Rev, Exp, Cha State Restr '!H15+'Rev, Exp, Cha Local Restr '!H15+'Rev, Exp, Cha Debt Service'!H12</f>
        <v>13735123.380000001</v>
      </c>
      <c r="J16" s="3">
        <f>+(D16-H16)/H16+1</f>
        <v>1.0259950770096395</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2922805.79</v>
      </c>
      <c r="F17" s="3">
        <f t="shared" si="0"/>
        <v>1.0256322602605132</v>
      </c>
      <c r="H17" s="5">
        <f>+'Rev, Exp, Cha Unrestricted'!H16+'Rev, Exp, Cha Federal Restrict'!H16+'Rev, Exp, Cha State Restr '!H16+'Rev, Exp, Cha Local Restr '!H16+'Rev, Exp, Cha Debt Service'!H13</f>
        <v>2679245.21</v>
      </c>
      <c r="J17" s="3">
        <f>+(D17-H17)/H17+1</f>
        <v>1.0909064161394917</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3976660.33</v>
      </c>
      <c r="F19" s="3">
        <f t="shared" si="0"/>
        <v>0.92996995404943317</v>
      </c>
      <c r="H19" s="5">
        <f>+'Rev, Exp, Cha Unrestricted'!H18+'Rev, Exp, Cha Federal Restrict'!H18+'Rev, Exp, Cha State Restr '!H18+'Rev, Exp, Cha Local Restr '!H18+'Rev, Exp, Cha Debt Service'!H15</f>
        <v>4007435</v>
      </c>
      <c r="J19" s="3">
        <f>+(D19-H19)/H19+1</f>
        <v>0.99232060657253329</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1403882.59</v>
      </c>
      <c r="F20" s="3">
        <f t="shared" si="0"/>
        <v>0.88193828428554832</v>
      </c>
      <c r="H20" s="5">
        <f>+'Rev, Exp, Cha Unrestricted'!H19+'Rev, Exp, Cha Federal Restrict'!H19+'Rev, Exp, Cha State Restr '!H19+'Rev, Exp, Cha Local Restr '!H19+'Rev, Exp, Cha Debt Service'!H16</f>
        <v>1215082.26</v>
      </c>
      <c r="J20" s="3">
        <f>+(D20-H20)/H20+1</f>
        <v>1.1553806982582397</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-227886</v>
      </c>
      <c r="F21" s="3">
        <f t="shared" si="0"/>
        <v>1.0358454545454545</v>
      </c>
      <c r="H21" s="5">
        <f>+'Rev, Exp, Cha Unrestricted'!H20+'Rev, Exp, Cha Federal Restrict'!H20+'Rev, Exp, Cha State Restr '!H20+'Rev, Exp, Cha Local Restr '!H20+'Rev, Exp, Cha Debt Service'!H17</f>
        <v>-214598</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4560046.2</v>
      </c>
      <c r="F23" s="3">
        <f t="shared" si="0"/>
        <v>0.91468891263846563</v>
      </c>
      <c r="H23" s="5">
        <f>+'Rev, Exp, Cha Unrestricted'!H22+'Rev, Exp, Cha Federal Restrict'!H22+'Rev, Exp, Cha State Restr '!H22+'Rev, Exp, Cha Local Restr '!H22+'Rev, Exp, Cha Debt Service'!H19</f>
        <v>4236703.3600000003</v>
      </c>
      <c r="J23" s="3">
        <f>+(D23-H23)/H23+1</f>
        <v>1.0763194428604035</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-354381.69</v>
      </c>
      <c r="F26" s="3">
        <f t="shared" ref="F26:F33" si="1">+(D26-B26)/B26+1</f>
        <v>1.1812723000000001</v>
      </c>
      <c r="H26" s="5">
        <f>+'Rev, Exp, Cha Unrestricted'!H25+'Rev, Exp, Cha Federal Restrict'!H25+'Rev, Exp, Cha State Restr '!H25+'Rev, Exp, Cha Local Restr '!H25+'Rev, Exp, Cha Debt Service'!H22</f>
        <v>-304068.88</v>
      </c>
      <c r="J26" s="3">
        <f t="shared" ref="J26:J33" si="2">+(D26-H26)/H26+1</f>
        <v>1.1654651735488353</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517744.99</v>
      </c>
      <c r="F28" s="3">
        <f t="shared" si="1"/>
        <v>1.1952687216330149</v>
      </c>
      <c r="H28" s="5">
        <f>+'Rev, Exp, Cha Unrestricted'!H27+'Rev, Exp, Cha Federal Restrict'!H27+'Rev, Exp, Cha State Restr '!H27+'Rev, Exp, Cha Local Restr '!H27+'Rev, Exp, Cha Debt Service'!H24</f>
        <v>484840.29</v>
      </c>
      <c r="J28" s="3">
        <f t="shared" si="2"/>
        <v>1.0678670908310859</v>
      </c>
      <c r="K28" s="16" t="s">
        <v>126</v>
      </c>
    </row>
    <row r="29" spans="1:13" x14ac:dyDescent="0.25">
      <c r="A29" s="4" t="s">
        <v>200</v>
      </c>
      <c r="B29" s="6">
        <v>0</v>
      </c>
      <c r="C29" s="6"/>
      <c r="D29" s="5">
        <f>+'Rev, Exp, Cha Debt Service'!D25</f>
        <v>0</v>
      </c>
      <c r="F29" s="3">
        <v>0</v>
      </c>
      <c r="H29" s="5">
        <f>+'Rev, Exp, Cha Debt Service'!H25</f>
        <v>10247729.6</v>
      </c>
      <c r="J29" s="3">
        <v>0</v>
      </c>
      <c r="K29" s="16" t="s">
        <v>127</v>
      </c>
    </row>
    <row r="30" spans="1:13" x14ac:dyDescent="0.25">
      <c r="A30" s="4" t="s">
        <v>47</v>
      </c>
      <c r="B30" s="6">
        <f>+'Rev, Exp, Cha Unrestricted'!B28+'Rev, Exp, Cha Federal Restrict'!B28+'Rev, Exp, Cha State Restr '!B28+'Rev, Exp, Cha Local Restr '!B28+'Rev, Exp, Cha Debt Service'!B26</f>
        <v>800007</v>
      </c>
      <c r="C30" s="6"/>
      <c r="D30" s="5">
        <f>+'Rev, Exp, Cha Unrestricted'!D28+'Rev, Exp, Cha Federal Restrict'!D28+'Rev, Exp, Cha State Restr '!D28+'Rev, Exp, Cha Local Restr '!D28+'Rev, Exp, Cha Debt Service'!D26</f>
        <v>771426.60999999987</v>
      </c>
      <c r="F30" s="3">
        <f t="shared" si="1"/>
        <v>0.96427482509528029</v>
      </c>
      <c r="H30" s="5">
        <f>+'Rev, Exp, Cha Unrestricted'!H28+'Rev, Exp, Cha Federal Restrict'!H28+'Rev, Exp, Cha State Restr '!H28+'Rev, Exp, Cha Local Restr '!H28+'Rev, Exp, Cha Debt Service'!H26</f>
        <v>595151.01</v>
      </c>
      <c r="J30" s="3">
        <f t="shared" si="2"/>
        <v>1.2961863410094858</v>
      </c>
      <c r="K30" s="16" t="s">
        <v>127</v>
      </c>
    </row>
    <row r="31" spans="1:13" x14ac:dyDescent="0.25">
      <c r="A31" s="4" t="s">
        <v>64</v>
      </c>
      <c r="B31" s="6">
        <f>+'Rev, Exp, Cha Auxiliary'!B13</f>
        <v>2447900</v>
      </c>
      <c r="C31" s="6"/>
      <c r="D31" s="5">
        <f>+'Rev, Exp, Cha Auxiliary'!D13</f>
        <v>1964139.51</v>
      </c>
      <c r="F31" s="3">
        <f t="shared" si="1"/>
        <v>0.80237734793087956</v>
      </c>
      <c r="H31" s="5">
        <f>+'Rev, Exp, Cha Auxiliary'!H13</f>
        <v>2270307.66</v>
      </c>
      <c r="J31" s="3">
        <f t="shared" si="2"/>
        <v>0.86514244065053281</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165362.60999999999</v>
      </c>
      <c r="F32" s="3">
        <f t="shared" si="1"/>
        <v>1.4524603425559945</v>
      </c>
      <c r="H32" s="5">
        <f>+'Rev, Exp, Cha Unrestricted'!H30+'Rev, Exp, Cha Federal Restrict'!H30+'Rev, Exp, Cha State Restr '!H30+'Rev, Exp, Cha Local Restr '!H30+'Rev, Exp, Cha Debt Service'!H28</f>
        <v>165984.39000000001</v>
      </c>
      <c r="J32" s="3">
        <f t="shared" si="2"/>
        <v>0.99625398508859764</v>
      </c>
      <c r="K32" s="16" t="s">
        <v>129</v>
      </c>
    </row>
    <row r="33" spans="1:11" x14ac:dyDescent="0.25">
      <c r="A33" s="4" t="s">
        <v>63</v>
      </c>
      <c r="B33" s="6">
        <f>+'Rev, Exp, Cha Unrestricted'!B31+'Rev, Exp, Cha Federal Restrict'!B31+'Rev, Exp, Cha State Restr '!B31+'Rev, Exp, Cha Local Restr '!B31+'Rev, Exp, Cha Debt Service'!B29</f>
        <v>6757120.75</v>
      </c>
      <c r="C33" s="6"/>
      <c r="D33" s="5">
        <f>+'Rev, Exp, Cha Unrestricted'!D31+'Rev, Exp, Cha Federal Restrict'!D31+'Rev, Exp, Cha State Restr '!D31+'Rev, Exp, Cha Local Restr '!D31+'Rev, Exp, Cha Debt Service'!D29</f>
        <v>6757120.75</v>
      </c>
      <c r="F33" s="3">
        <f t="shared" si="1"/>
        <v>1</v>
      </c>
      <c r="H33" s="5">
        <f>+'Rev, Exp, Cha Unrestricted'!H31+'Rev, Exp, Cha Federal Restrict'!H31+'Rev, Exp, Cha State Restr '!H31+'Rev, Exp, Cha Local Restr '!H31+'Rev, Exp, Cha Debt Service'!H29</f>
        <v>5920981.5599999996</v>
      </c>
      <c r="J33" s="3">
        <f t="shared" si="2"/>
        <v>1.1412163138032134</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4801458.75</v>
      </c>
      <c r="C35" s="6"/>
      <c r="D35" s="5">
        <f>+'Rev, Exp, Cha Unrestricted'!D33+'Rev, Exp, Cha Federal Restrict'!D33+'Rev, Exp, Cha State Restr '!D33+'Rev, Exp, Cha Local Restr '!D33+'Rev, Exp, Cha Debt Service'!D31</f>
        <v>4801458.75</v>
      </c>
      <c r="F35" s="3">
        <f t="shared" ref="F35:F38" si="3">+(D35-B35)/B35+1</f>
        <v>1</v>
      </c>
      <c r="H35" s="5">
        <f>+'Rev, Exp, Cha Unrestricted'!H33+'Rev, Exp, Cha Federal Restrict'!H33+'Rev, Exp, Cha State Restr '!H33+'Rev, Exp, Cha Local Restr '!H33+'Rev, Exp, Cha Debt Service'!H31</f>
        <v>4108973.4</v>
      </c>
      <c r="J35" s="3">
        <f t="shared" ref="J35:J38" si="4">+(D35-H35)/H35+1</f>
        <v>1.1685300153074731</v>
      </c>
      <c r="K35" s="16" t="s">
        <v>140</v>
      </c>
    </row>
    <row r="36" spans="1:11" x14ac:dyDescent="0.25">
      <c r="A36" s="10" t="s">
        <v>52</v>
      </c>
      <c r="B36" s="6">
        <f>+'Rev, Exp, Cha Unrestricted'!B34+'Rev, Exp, Cha Federal Restrict'!B34+'Rev, Exp, Cha State Restr '!B34+'Rev, Exp, Cha Local Restr '!B34+'Rev, Exp, Cha Debt Service'!B32</f>
        <v>881629</v>
      </c>
      <c r="C36" s="6"/>
      <c r="D36" s="5">
        <f>+'Rev, Exp, Cha Unrestricted'!D34+'Rev, Exp, Cha Federal Restrict'!D34+'Rev, Exp, Cha State Restr '!D34+'Rev, Exp, Cha Local Restr '!D34+'Rev, Exp, Cha Debt Service'!D32</f>
        <v>781994.19</v>
      </c>
      <c r="F36" s="3">
        <f t="shared" si="3"/>
        <v>0.88698782594492687</v>
      </c>
      <c r="H36" s="5">
        <f>+'Rev, Exp, Cha Unrestricted'!H34+'Rev, Exp, Cha Federal Restrict'!H34+'Rev, Exp, Cha State Restr '!H34+'Rev, Exp, Cha Local Restr '!H34+'Rev, Exp, Cha Debt Service'!H32</f>
        <v>329137.73</v>
      </c>
      <c r="J36" s="3">
        <f t="shared" si="4"/>
        <v>2.375887413454544</v>
      </c>
      <c r="K36" s="16" t="s">
        <v>141</v>
      </c>
    </row>
    <row r="37" spans="1:11" ht="16.5" x14ac:dyDescent="0.35">
      <c r="A37" s="10" t="s">
        <v>54</v>
      </c>
      <c r="B37" s="26">
        <f>+'Rev, Exp, Cha Unrestricted'!B35+'Rev, Exp, Cha Federal Restrict'!B35+'Rev, Exp, Cha State Restr '!B35+'Rev, Exp, Cha Local Restr '!B35+'Rev, Exp, Cha Debt Service'!B33</f>
        <v>961264.75</v>
      </c>
      <c r="C37" s="6"/>
      <c r="D37" s="8">
        <f>+'Rev, Exp, Cha Unrestricted'!D35+'Rev, Exp, Cha Federal Restrict'!D35+'Rev, Exp, Cha State Restr '!D35+'Rev, Exp, Cha Local Restr '!D35+'Rev, Exp, Cha Debt Service'!D33</f>
        <v>2010249.82</v>
      </c>
      <c r="F37" s="3">
        <f t="shared" si="3"/>
        <v>2.0912551094794645</v>
      </c>
      <c r="H37" s="8">
        <f>+'Rev, Exp, Cha Unrestricted'!H35+'Rev, Exp, Cha Federal Restrict'!H35+'Rev, Exp, Cha State Restr '!H35+'Rev, Exp, Cha Local Restr '!H35+'Rev, Exp, Cha Debt Service'!H33</f>
        <v>1003227.22</v>
      </c>
      <c r="J37" s="3">
        <f t="shared" si="4"/>
        <v>2.003783170875288</v>
      </c>
      <c r="K37" s="16" t="s">
        <v>142</v>
      </c>
    </row>
    <row r="38" spans="1:11" ht="16.5" x14ac:dyDescent="0.35">
      <c r="A38" s="56" t="s">
        <v>55</v>
      </c>
      <c r="B38" s="26">
        <f>SUM(B11:B37)</f>
        <v>51505545.25</v>
      </c>
      <c r="C38" s="6"/>
      <c r="D38" s="8">
        <f>SUM(D11:D37)</f>
        <v>51468500.789999999</v>
      </c>
      <c r="F38" s="3">
        <f t="shared" si="3"/>
        <v>0.99928076754026784</v>
      </c>
      <c r="H38" s="8">
        <f>SUM(H11:H37)</f>
        <v>56511717.060000002</v>
      </c>
      <c r="J38" s="3">
        <f t="shared" si="4"/>
        <v>0.910758042183615</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14669781.49</v>
      </c>
      <c r="C41" s="6"/>
      <c r="D41" s="5">
        <f>+'Rev, Exp, Cha Unrestricted'!D39+'Rev, Exp, Cha Federal Restrict'!D39+'Rev, Exp, Cha State Restr '!D39+'Rev, Exp, Cha Local Restr '!D39</f>
        <v>15024890.859999999</v>
      </c>
      <c r="F41" s="3">
        <f t="shared" ref="F41:F52" si="5">+(D41-B41)/B41+1</f>
        <v>1.0242068615842757</v>
      </c>
      <c r="H41" s="5">
        <f>+'Rev, Exp, Cha Unrestricted'!H39+'Rev, Exp, Cha Federal Restrict'!H39+'Rev, Exp, Cha State Restr '!H39+'Rev, Exp, Cha Local Restr '!H39</f>
        <v>13563715.99</v>
      </c>
      <c r="J41" s="3">
        <f t="shared" ref="J41:J50" si="6">+(D41-H41)/H41+1</f>
        <v>1.1077267373540751</v>
      </c>
      <c r="K41" s="16" t="s">
        <v>143</v>
      </c>
    </row>
    <row r="42" spans="1:11" x14ac:dyDescent="0.25">
      <c r="A42" s="4" t="s">
        <v>58</v>
      </c>
      <c r="B42" s="6">
        <f>+'Rev, Exp, Cha Unrestricted'!B40+'Rev, Exp, Cha Federal Restrict'!B40+'Rev, Exp, Cha State Restr '!B40+'Rev, Exp, Cha Local Restr '!B40</f>
        <v>405549</v>
      </c>
      <c r="C42" s="6"/>
      <c r="D42" s="5">
        <f>+'Rev, Exp, Cha Unrestricted'!D40+'Rev, Exp, Cha Federal Restrict'!D40+'Rev, Exp, Cha State Restr '!D40+'Rev, Exp, Cha Local Restr '!D40</f>
        <v>172036.49</v>
      </c>
      <c r="F42" s="3">
        <f t="shared" si="5"/>
        <v>0.42420642141886677</v>
      </c>
      <c r="H42" s="5">
        <f>+'Rev, Exp, Cha Unrestricted'!H40+'Rev, Exp, Cha Federal Restrict'!H40+'Rev, Exp, Cha State Restr '!H40+'Rev, Exp, Cha Local Restr '!H40</f>
        <v>265145.49</v>
      </c>
      <c r="J42" s="3">
        <f t="shared" si="6"/>
        <v>0.64883807753999512</v>
      </c>
      <c r="K42" s="16" t="s">
        <v>146</v>
      </c>
    </row>
    <row r="43" spans="1:11" x14ac:dyDescent="0.25">
      <c r="A43" s="4" t="s">
        <v>59</v>
      </c>
      <c r="B43" s="6">
        <f>+'Rev, Exp, Cha Unrestricted'!B41+'Rev, Exp, Cha Federal Restrict'!B41+'Rev, Exp, Cha State Restr '!B41+'Rev, Exp, Cha Local Restr '!B41</f>
        <v>3498358.16</v>
      </c>
      <c r="C43" s="6"/>
      <c r="D43" s="5">
        <f>+'Rev, Exp, Cha Unrestricted'!D41+'Rev, Exp, Cha Federal Restrict'!D41+'Rev, Exp, Cha State Restr '!D41+'Rev, Exp, Cha Local Restr '!D41</f>
        <v>3361910.44</v>
      </c>
      <c r="F43" s="3">
        <f t="shared" si="5"/>
        <v>0.96099664077848446</v>
      </c>
      <c r="H43" s="5">
        <f>+'Rev, Exp, Cha Unrestricted'!H41+'Rev, Exp, Cha Federal Restrict'!H41+'Rev, Exp, Cha State Restr '!H41+'Rev, Exp, Cha Local Restr '!H41</f>
        <v>3361680.72</v>
      </c>
      <c r="J43" s="3">
        <f t="shared" si="6"/>
        <v>1.000068334865543</v>
      </c>
      <c r="K43" s="16" t="s">
        <v>151</v>
      </c>
    </row>
    <row r="44" spans="1:11" x14ac:dyDescent="0.25">
      <c r="A44" s="4" t="s">
        <v>60</v>
      </c>
      <c r="B44" s="6">
        <f>+'Rev, Exp, Cha Unrestricted'!B42+'Rev, Exp, Cha Federal Restrict'!B42+'Rev, Exp, Cha State Restr '!B42+'Rev, Exp, Cha Local Restr '!B42</f>
        <v>3706894.4</v>
      </c>
      <c r="C44" s="6"/>
      <c r="D44" s="5">
        <f>+'Rev, Exp, Cha Unrestricted'!D42+'Rev, Exp, Cha Federal Restrict'!D42+'Rev, Exp, Cha State Restr '!D42+'Rev, Exp, Cha Local Restr '!D42</f>
        <v>3620297.15</v>
      </c>
      <c r="F44" s="3">
        <f t="shared" si="5"/>
        <v>0.97663886783502651</v>
      </c>
      <c r="H44" s="5">
        <f>+'Rev, Exp, Cha Unrestricted'!H42+'Rev, Exp, Cha Federal Restrict'!H42+'Rev, Exp, Cha State Restr '!H42+'Rev, Exp, Cha Local Restr '!H42</f>
        <v>3627051.7800000003</v>
      </c>
      <c r="J44" s="3">
        <f t="shared" si="6"/>
        <v>0.99813770786586331</v>
      </c>
      <c r="K44" s="16" t="s">
        <v>155</v>
      </c>
    </row>
    <row r="45" spans="1:11" x14ac:dyDescent="0.25">
      <c r="A45" s="4" t="s">
        <v>61</v>
      </c>
      <c r="B45" s="6">
        <f>+'Rev, Exp, Cha Unrestricted'!B43+'Rev, Exp, Cha Federal Restrict'!B43+'Rev, Exp, Cha State Restr '!B43+'Rev, Exp, Cha Local Restr '!B43</f>
        <v>9011405.4499999993</v>
      </c>
      <c r="C45" s="6"/>
      <c r="D45" s="5">
        <f>+'Rev, Exp, Cha Unrestricted'!D43+'Rev, Exp, Cha Federal Restrict'!D43+'Rev, Exp, Cha State Restr '!D43+'Rev, Exp, Cha Local Restr '!D43</f>
        <v>9365391.1600000001</v>
      </c>
      <c r="F45" s="3">
        <f t="shared" si="5"/>
        <v>1.0392819646129674</v>
      </c>
      <c r="H45" s="5">
        <f>+'Rev, Exp, Cha Unrestricted'!H43+'Rev, Exp, Cha Federal Restrict'!H43+'Rev, Exp, Cha State Restr '!H43+'Rev, Exp, Cha Local Restr '!H43</f>
        <v>6990502.5600000005</v>
      </c>
      <c r="J45" s="3">
        <f t="shared" si="6"/>
        <v>1.3397307389012671</v>
      </c>
      <c r="K45" s="16" t="s">
        <v>160</v>
      </c>
    </row>
    <row r="46" spans="1:11" x14ac:dyDescent="0.25">
      <c r="A46" s="4" t="s">
        <v>62</v>
      </c>
      <c r="B46" s="6">
        <f>+'Rev, Exp, Cha Unrestricted'!B44+'Rev, Exp, Cha Federal Restrict'!B44+'Rev, Exp, Cha State Restr '!B44+'Rev, Exp, Cha Local Restr '!B44</f>
        <v>4874689</v>
      </c>
      <c r="C46" s="6"/>
      <c r="D46" s="5">
        <f>+'Rev, Exp, Cha Unrestricted'!D44+'Rev, Exp, Cha Federal Restrict'!D44+'Rev, Exp, Cha State Restr '!D44+'Rev, Exp, Cha Local Restr '!D44</f>
        <v>5276728.6399999997</v>
      </c>
      <c r="F46" s="3">
        <f t="shared" si="5"/>
        <v>1.0824749312212532</v>
      </c>
      <c r="H46" s="5">
        <f>+'Rev, Exp, Cha Unrestricted'!H44+'Rev, Exp, Cha Federal Restrict'!H44+'Rev, Exp, Cha State Restr '!H44+'Rev, Exp, Cha Local Restr '!H44</f>
        <v>4627102.74</v>
      </c>
      <c r="J46" s="3">
        <f t="shared" si="6"/>
        <v>1.1403958235861431</v>
      </c>
      <c r="K46" s="16" t="s">
        <v>176</v>
      </c>
    </row>
    <row r="47" spans="1:11" x14ac:dyDescent="0.25">
      <c r="A47" s="4" t="s">
        <v>63</v>
      </c>
      <c r="B47" s="6">
        <f>+'Rev, Exp, Cha Unrestricted'!B45+'Rev, Exp, Cha Federal Restrict'!B45+'Rev, Exp, Cha State Restr '!B45+'Rev, Exp, Cha Local Restr '!B45</f>
        <v>7673841.75</v>
      </c>
      <c r="C47" s="6"/>
      <c r="D47" s="5">
        <f>+'Rev, Exp, Cha Unrestricted'!D45+'Rev, Exp, Cha Federal Restrict'!D45+'Rev, Exp, Cha State Restr '!D45+'Rev, Exp, Cha Local Restr '!D45</f>
        <v>8701943.9299999997</v>
      </c>
      <c r="F47" s="3">
        <f t="shared" si="5"/>
        <v>1.1339748998602948</v>
      </c>
      <c r="H47" s="5">
        <f>+'Rev, Exp, Cha Unrestricted'!H45+'Rev, Exp, Cha Federal Restrict'!H45+'Rev, Exp, Cha State Restr '!H45+'Rev, Exp, Cha Local Restr '!H45</f>
        <v>7197219.2299999995</v>
      </c>
      <c r="J47" s="3">
        <f t="shared" si="6"/>
        <v>1.209070288386922</v>
      </c>
      <c r="K47" s="16" t="s">
        <v>183</v>
      </c>
    </row>
    <row r="48" spans="1:11" x14ac:dyDescent="0.25">
      <c r="A48" s="4" t="s">
        <v>64</v>
      </c>
      <c r="B48" s="6">
        <f>+'Rev, Exp, Cha Auxiliary'!B30</f>
        <v>3024121</v>
      </c>
      <c r="C48" s="6"/>
      <c r="D48" s="5">
        <f>+'Rev, Exp, Cha Auxiliary'!D30</f>
        <v>2928318.2199999997</v>
      </c>
      <c r="F48" s="3">
        <f t="shared" si="5"/>
        <v>0.96832045410881373</v>
      </c>
      <c r="H48" s="5">
        <f>+'Rev, Exp, Cha Auxiliary'!H30</f>
        <v>3105729.47</v>
      </c>
      <c r="J48" s="3">
        <f t="shared" si="6"/>
        <v>0.94287614175229484</v>
      </c>
      <c r="K48" s="16" t="s">
        <v>189</v>
      </c>
    </row>
    <row r="49" spans="1:11" x14ac:dyDescent="0.25">
      <c r="A49" s="4" t="s">
        <v>76</v>
      </c>
      <c r="B49" s="6">
        <f>+'Rev, Exp, Cha Unrestricted'!B47+'Rev, Exp, Cha Federal Restrict'!B47+'Rev, Exp, Cha State Restr '!B47+'Rev, Exp, Cha Local Restr '!B47</f>
        <v>1567980</v>
      </c>
      <c r="C49" s="6"/>
      <c r="D49" s="5">
        <f>+'Rev, Exp, Cha Unrestricted'!D47+'Rev, Exp, Cha Federal Restrict'!D47+'Rev, Exp, Cha State Restr '!D47+'Rev, Exp, Cha Local Restr '!D47</f>
        <v>0</v>
      </c>
      <c r="F49" s="3">
        <f t="shared" si="5"/>
        <v>0</v>
      </c>
      <c r="H49" s="5">
        <f>+'Rev, Exp, Cha Unrestricted'!H47+'Rev, Exp, Cha Federal Restrict'!H47+'Rev, Exp, Cha State Restr '!H47+'Rev, Exp, Cha Local Restr '!H47</f>
        <v>0</v>
      </c>
      <c r="J49" s="3" t="e">
        <f t="shared" si="6"/>
        <v>#DIV/0!</v>
      </c>
      <c r="K49" s="16" t="s">
        <v>191</v>
      </c>
    </row>
    <row r="50" spans="1:11" x14ac:dyDescent="0.25">
      <c r="A50" s="4" t="s">
        <v>50</v>
      </c>
      <c r="B50" s="6">
        <f>+'Rev, Exp, Cha Debt Service'!B40</f>
        <v>3049760</v>
      </c>
      <c r="C50" s="6"/>
      <c r="D50" s="5">
        <f>+'Rev, Exp, Cha Debt Service'!D40</f>
        <v>2876514.2800000003</v>
      </c>
      <c r="F50" s="3">
        <f t="shared" si="5"/>
        <v>0.9431936545826558</v>
      </c>
      <c r="H50" s="5">
        <f>+'Rev, Exp, Cha Debt Service'!H40</f>
        <v>2726860.7</v>
      </c>
      <c r="J50" s="3">
        <f t="shared" si="6"/>
        <v>1.0548812706127599</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51491431.25</v>
      </c>
      <c r="C52" s="6"/>
      <c r="D52" s="8">
        <f>SUM(D41:D51)</f>
        <v>51328031.169999994</v>
      </c>
      <c r="F52" s="3">
        <f t="shared" si="5"/>
        <v>0.99682665492037559</v>
      </c>
      <c r="H52" s="8">
        <f>SUM(H41:H51)</f>
        <v>45465008.68</v>
      </c>
      <c r="J52" s="3">
        <f t="shared" ref="J52" si="7">+(D52-H52)/H52+1</f>
        <v>1.1289568100880871</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427886</v>
      </c>
      <c r="C55" s="6"/>
      <c r="D55" s="5">
        <f>+'Rev, Exp, Cha Unrestricted'!D53+'Rev, Exp, Cha Federal Restrict'!D52+'Rev, Exp, Cha State Restr '!D52+'Rev, Exp, Cha Local Restr '!D52+'Rev, Exp, Cha Auxiliary'!D33+'Rev, Exp, Cha Debt Service'!D43</f>
        <v>227886</v>
      </c>
      <c r="F55" s="3">
        <f t="shared" ref="F55:F56" si="8">+(D55-B55)/B55+1</f>
        <v>0.53258578219432273</v>
      </c>
      <c r="H55" s="5">
        <f>+'Rev, Exp, Cha Unrestricted'!H53+'Rev, Exp, Cha Federal Restrict'!H52+'Rev, Exp, Cha State Restr '!H52+'Rev, Exp, Cha Local Restr '!H52+'Rev, Exp, Cha Auxiliary'!H33+'Rev, Exp, Cha Debt Service'!H43</f>
        <v>-9785402</v>
      </c>
      <c r="J55" s="3">
        <f t="shared" ref="J55:J56" si="9">+(D55-H55)/H55+1</f>
        <v>-2.3288363625735498E-2</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-669886</v>
      </c>
      <c r="F56" s="3">
        <f t="shared" si="8"/>
        <v>1.515579185520362</v>
      </c>
      <c r="H56" s="8">
        <f>+'Rev, Exp, Cha Unrestricted'!H54+'Rev, Exp, Cha Federal Restrict'!H53+'Rev, Exp, Cha State Restr '!H53+'Rev, Exp, Cha Local Restr '!H53+'Rev, Exp, Cha Debt Service'!H44</f>
        <v>-656598</v>
      </c>
      <c r="J56" s="3">
        <f t="shared" si="9"/>
        <v>1.0202376492161109</v>
      </c>
    </row>
    <row r="57" spans="1:11" ht="16.5" x14ac:dyDescent="0.35">
      <c r="A57" s="56" t="s">
        <v>55</v>
      </c>
      <c r="B57" s="26">
        <f>SUM(B55:B56)</f>
        <v>-14114</v>
      </c>
      <c r="C57" s="6"/>
      <c r="D57" s="8">
        <f>SUM(D55:D56)</f>
        <v>-442000</v>
      </c>
      <c r="F57" s="3"/>
      <c r="G57" s="26">
        <f>SUM(G55:G56)</f>
        <v>0</v>
      </c>
      <c r="H57" s="8">
        <f>SUM(H55:H56)</f>
        <v>-10442000</v>
      </c>
      <c r="J57" s="3"/>
    </row>
    <row r="58" spans="1:11" ht="3.95" customHeight="1" x14ac:dyDescent="0.25">
      <c r="B58" s="6"/>
      <c r="C58" s="6"/>
      <c r="D58" s="6"/>
      <c r="F58" s="3"/>
      <c r="H58" s="6"/>
      <c r="J58" s="3"/>
    </row>
    <row r="59" spans="1:11" ht="16.5" x14ac:dyDescent="0.35">
      <c r="A59" s="4" t="s">
        <v>397</v>
      </c>
      <c r="B59" s="34">
        <f>+B38-B52+B57</f>
        <v>0</v>
      </c>
      <c r="C59" s="6"/>
      <c r="D59" s="9">
        <f>+D38-D52+D57</f>
        <v>-301530.37999999523</v>
      </c>
      <c r="F59" s="3"/>
      <c r="H59" s="9">
        <f>+H38-H52+H57</f>
        <v>604708.38000000268</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1"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zoomScaleNormal="100" workbookViewId="0">
      <selection activeCell="A78" sqref="A78"/>
    </sheetView>
  </sheetViews>
  <sheetFormatPr defaultRowHeight="15" x14ac:dyDescent="0.25"/>
  <cols>
    <col min="1" max="1" width="6.5703125" style="43" customWidth="1"/>
    <col min="2" max="2" width="33.28515625" style="2" customWidth="1"/>
    <col min="3" max="8" width="9.140625" style="2"/>
  </cols>
  <sheetData>
    <row r="1" spans="1:8" ht="15.75" x14ac:dyDescent="0.25">
      <c r="A1" s="131" t="s">
        <v>0</v>
      </c>
      <c r="B1" s="131"/>
      <c r="C1" s="131"/>
      <c r="D1" s="131"/>
      <c r="E1" s="131"/>
      <c r="F1" s="131"/>
      <c r="G1" s="131"/>
      <c r="H1" s="131"/>
    </row>
    <row r="2" spans="1:8" x14ac:dyDescent="0.25">
      <c r="A2" s="132" t="s">
        <v>395</v>
      </c>
      <c r="B2" s="132"/>
      <c r="C2" s="132"/>
      <c r="D2" s="132"/>
      <c r="E2" s="132"/>
      <c r="F2" s="132"/>
      <c r="G2" s="132"/>
      <c r="H2" s="132"/>
    </row>
    <row r="3" spans="1:8" x14ac:dyDescent="0.25">
      <c r="A3" s="133" t="str">
        <f>+'Statement of Net Position'!A3:E3</f>
        <v>August 31, 2024</v>
      </c>
      <c r="B3" s="133"/>
      <c r="C3" s="133"/>
      <c r="D3" s="133"/>
      <c r="E3" s="133"/>
      <c r="F3" s="133"/>
      <c r="G3" s="133"/>
      <c r="H3" s="133"/>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7" t="s">
        <v>205</v>
      </c>
      <c r="C9" s="137"/>
      <c r="D9" s="137"/>
      <c r="E9" s="137"/>
      <c r="F9" s="137"/>
      <c r="G9" s="137"/>
      <c r="H9" s="137"/>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7" t="s">
        <v>248</v>
      </c>
      <c r="C13" s="137"/>
      <c r="D13" s="137"/>
      <c r="E13" s="137"/>
      <c r="F13" s="137"/>
      <c r="G13" s="137"/>
      <c r="H13" s="137"/>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7" t="s">
        <v>249</v>
      </c>
      <c r="C18" s="137"/>
      <c r="D18" s="137"/>
      <c r="E18" s="137"/>
      <c r="F18" s="137"/>
      <c r="G18" s="137"/>
      <c r="H18" s="137"/>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7" t="s">
        <v>285</v>
      </c>
      <c r="C34" s="137"/>
      <c r="D34" s="137"/>
      <c r="E34" s="137"/>
      <c r="F34" s="137"/>
      <c r="G34" s="137"/>
      <c r="H34" s="137"/>
    </row>
    <row r="35" spans="1:8" s="65" customFormat="1" ht="15" customHeight="1" x14ac:dyDescent="0.25">
      <c r="B35" s="75" t="s">
        <v>121</v>
      </c>
    </row>
    <row r="36" spans="1:8" s="65" customFormat="1" ht="15" customHeight="1" x14ac:dyDescent="0.25">
      <c r="A36" s="64" t="s">
        <v>122</v>
      </c>
      <c r="B36" s="137" t="s">
        <v>250</v>
      </c>
      <c r="C36" s="137"/>
      <c r="D36" s="137"/>
      <c r="E36" s="137"/>
      <c r="F36" s="137"/>
      <c r="G36" s="137"/>
      <c r="H36" s="137"/>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6" t="s">
        <v>228</v>
      </c>
      <c r="C50" s="136"/>
      <c r="D50" s="136"/>
      <c r="E50" s="136"/>
      <c r="F50" s="136"/>
      <c r="G50" s="136"/>
      <c r="H50" s="136"/>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7" t="s">
        <v>64</v>
      </c>
      <c r="C66" s="137"/>
      <c r="D66" s="137"/>
      <c r="E66" s="137"/>
      <c r="F66" s="137"/>
      <c r="G66" s="137"/>
      <c r="H66" s="137"/>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7" t="s">
        <v>243</v>
      </c>
      <c r="C90" s="137"/>
      <c r="D90" s="137"/>
      <c r="E90" s="137"/>
      <c r="F90" s="137"/>
      <c r="G90" s="137"/>
      <c r="H90" s="137"/>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6" t="s">
        <v>286</v>
      </c>
      <c r="C103" s="136"/>
      <c r="D103" s="136"/>
      <c r="E103" s="136"/>
      <c r="F103" s="136"/>
      <c r="G103" s="136"/>
      <c r="H103" s="136"/>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6" t="s">
        <v>289</v>
      </c>
      <c r="C107" s="136"/>
      <c r="D107" s="136"/>
      <c r="E107" s="136"/>
      <c r="F107" s="136"/>
      <c r="G107" s="136"/>
      <c r="H107" s="136"/>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7" t="s">
        <v>245</v>
      </c>
      <c r="C185" s="137"/>
      <c r="D185" s="137"/>
      <c r="E185" s="137"/>
      <c r="F185" s="137"/>
      <c r="G185" s="137"/>
      <c r="H185" s="137"/>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4" t="s">
        <v>358</v>
      </c>
      <c r="C195" s="134"/>
      <c r="D195" s="134"/>
      <c r="E195" s="134"/>
      <c r="F195" s="134"/>
      <c r="G195" s="134"/>
      <c r="H195" s="134"/>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4" t="s">
        <v>246</v>
      </c>
      <c r="C200" s="134"/>
      <c r="D200" s="134"/>
      <c r="E200" s="134"/>
      <c r="F200" s="134"/>
      <c r="G200" s="134"/>
      <c r="H200" s="134"/>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200:H200"/>
    <mergeCell ref="B66:H66"/>
    <mergeCell ref="B90:H90"/>
    <mergeCell ref="B103:H103"/>
    <mergeCell ref="B107:H107"/>
    <mergeCell ref="B195:H195"/>
    <mergeCell ref="B185:H185"/>
    <mergeCell ref="B50:H50"/>
    <mergeCell ref="B34:H34"/>
    <mergeCell ref="A1:H1"/>
    <mergeCell ref="A2:H2"/>
    <mergeCell ref="A3:H3"/>
    <mergeCell ref="B9:H9"/>
    <mergeCell ref="B18:H18"/>
    <mergeCell ref="B13:H13"/>
    <mergeCell ref="B36:H36"/>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2" zoomScaleNormal="100" workbookViewId="0">
      <selection activeCell="D20" sqref="D20"/>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August 31, 2024</v>
      </c>
      <c r="B3" s="130"/>
      <c r="C3" s="130"/>
      <c r="D3" s="130"/>
      <c r="E3" s="130"/>
      <c r="F3" s="130"/>
      <c r="G3" s="130"/>
      <c r="H3" s="130"/>
      <c r="I3" s="130"/>
      <c r="J3" s="130"/>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45169</v>
      </c>
      <c r="K7" s="11"/>
    </row>
    <row r="8" spans="1:11" s="1" customFormat="1" x14ac:dyDescent="0.25">
      <c r="A8" s="4"/>
      <c r="B8" s="22" t="s">
        <v>33</v>
      </c>
      <c r="C8" s="80"/>
      <c r="D8" s="28" t="s">
        <v>35</v>
      </c>
      <c r="E8" s="87"/>
      <c r="F8" s="22" t="s">
        <v>33</v>
      </c>
      <c r="G8" s="87"/>
      <c r="H8" s="24">
        <f>+'Revenues, Expenditures, Changes'!H9</f>
        <v>45169</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5334445.84</v>
      </c>
      <c r="E10" s="4"/>
      <c r="F10" s="3">
        <f>+(D10-B10)/B10+1</f>
        <v>0.9999999700062574</v>
      </c>
      <c r="G10" s="4"/>
      <c r="H10" s="32">
        <v>5102088</v>
      </c>
      <c r="I10" s="4"/>
      <c r="J10" s="3">
        <f t="shared" ref="J10" si="0">+(D10-H10)/H10+1</f>
        <v>1.0455417154702153</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1472404</v>
      </c>
      <c r="C12" s="6"/>
      <c r="D12" s="5">
        <v>970387</v>
      </c>
      <c r="E12" s="4"/>
      <c r="F12" s="3">
        <f>+(D12-B12)/B12+1</f>
        <v>0.65904941850198728</v>
      </c>
      <c r="G12" s="4"/>
      <c r="H12" s="5">
        <v>364341.4</v>
      </c>
      <c r="I12" s="4"/>
      <c r="J12" s="3">
        <f t="shared" ref="J12:J13" si="1">+(D12-H12)/H12+1</f>
        <v>2.6634003162967481</v>
      </c>
      <c r="K12" s="11"/>
    </row>
    <row r="13" spans="1:11" s="1" customFormat="1" x14ac:dyDescent="0.25">
      <c r="A13" s="10" t="s">
        <v>94</v>
      </c>
      <c r="B13" s="6">
        <v>577665</v>
      </c>
      <c r="C13" s="6"/>
      <c r="D13" s="5">
        <v>1020874.53</v>
      </c>
      <c r="E13" s="4"/>
      <c r="F13" s="3">
        <f>+(D13-B13)/B13+1</f>
        <v>1.7672431772740258</v>
      </c>
      <c r="G13" s="4"/>
      <c r="H13" s="5">
        <v>564032.47</v>
      </c>
      <c r="I13" s="4"/>
      <c r="J13" s="3">
        <f t="shared" si="1"/>
        <v>1.8099570225097148</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14092168.970000001</v>
      </c>
      <c r="E15" s="4"/>
      <c r="F15" s="3">
        <f>+(D15-B15)/B15+1</f>
        <v>1.0255119580741507</v>
      </c>
      <c r="G15" s="4"/>
      <c r="H15" s="5">
        <v>13735123.380000001</v>
      </c>
      <c r="I15" s="4"/>
      <c r="J15" s="3">
        <f t="shared" ref="J15" si="2">+(D15-H15)/H15+1</f>
        <v>1.0259950770096395</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3976660.33</v>
      </c>
      <c r="E18" s="4"/>
      <c r="F18" s="3">
        <f>+(D18-B18)/B18+1</f>
        <v>0.92996995404943317</v>
      </c>
      <c r="G18" s="4"/>
      <c r="H18" s="5">
        <v>4007435</v>
      </c>
      <c r="I18" s="4"/>
      <c r="J18" s="3">
        <f t="shared" ref="J18:J22" si="3">+(D18-H18)/H18+1</f>
        <v>0.99232060657253329</v>
      </c>
      <c r="K18" s="11"/>
    </row>
    <row r="19" spans="1:11" s="1" customFormat="1" x14ac:dyDescent="0.25">
      <c r="A19" s="10" t="s">
        <v>43</v>
      </c>
      <c r="B19" s="6">
        <f>515915+196345+215000+35000+122400+496200+10955</f>
        <v>1591815</v>
      </c>
      <c r="C19" s="6"/>
      <c r="D19" s="5">
        <v>1403882.59</v>
      </c>
      <c r="E19" s="4"/>
      <c r="F19" s="3">
        <f>+(D19-B19)/B19+1</f>
        <v>0.88193828428554832</v>
      </c>
      <c r="G19" s="4"/>
      <c r="H19" s="5">
        <v>1215082.26</v>
      </c>
      <c r="I19" s="4"/>
      <c r="J19" s="3">
        <f t="shared" si="3"/>
        <v>1.1553806982582397</v>
      </c>
      <c r="K19" s="11"/>
    </row>
    <row r="20" spans="1:11" s="1" customFormat="1" x14ac:dyDescent="0.25">
      <c r="A20" s="10" t="s">
        <v>75</v>
      </c>
      <c r="B20" s="6">
        <v>-220000</v>
      </c>
      <c r="C20" s="6"/>
      <c r="D20" s="5">
        <v>-227886</v>
      </c>
      <c r="E20" s="4"/>
      <c r="F20" s="3">
        <f>+(D20-B20)/B20+1</f>
        <v>1.0358454545454545</v>
      </c>
      <c r="G20" s="4"/>
      <c r="H20" s="5">
        <v>-214598</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4560046.2</v>
      </c>
      <c r="E22" s="4"/>
      <c r="F22" s="3">
        <f>+(D22-B22)/B22+1</f>
        <v>0.91468891263846563</v>
      </c>
      <c r="G22" s="4"/>
      <c r="H22" s="5">
        <v>4236703.3600000003</v>
      </c>
      <c r="I22" s="4"/>
      <c r="J22" s="3">
        <f t="shared" si="3"/>
        <v>1.0763194428604035</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-354381.69</v>
      </c>
      <c r="E25" s="4"/>
      <c r="F25" s="3">
        <f>+(D25-B25)/B25+1</f>
        <v>1.1812723000000001</v>
      </c>
      <c r="G25" s="4"/>
      <c r="H25" s="5">
        <v>-304068.88</v>
      </c>
      <c r="I25" s="4"/>
      <c r="J25" s="3">
        <f t="shared" ref="J25:J30" si="4">+(D25-H25)/H25+1</f>
        <v>1.1654651735488353</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517744.99</v>
      </c>
      <c r="E27" s="4"/>
      <c r="F27" s="3">
        <f>+(D27-B27)/B27+1</f>
        <v>1.1952687216330149</v>
      </c>
      <c r="G27" s="4"/>
      <c r="H27" s="5">
        <v>484840.29</v>
      </c>
      <c r="I27" s="4"/>
      <c r="J27" s="3">
        <f t="shared" si="4"/>
        <v>1.0678670908310859</v>
      </c>
      <c r="K27" s="11"/>
    </row>
    <row r="28" spans="1:11" s="1" customFormat="1" x14ac:dyDescent="0.25">
      <c r="A28" s="4" t="s">
        <v>47</v>
      </c>
      <c r="B28" s="6">
        <v>800000</v>
      </c>
      <c r="C28" s="6"/>
      <c r="D28" s="5">
        <v>771294.1</v>
      </c>
      <c r="E28" s="4"/>
      <c r="F28" s="3">
        <f>+(D28-B28)/B28+1</f>
        <v>0.96411762499999998</v>
      </c>
      <c r="G28" s="4"/>
      <c r="H28" s="5">
        <v>595138.14</v>
      </c>
      <c r="I28" s="4"/>
      <c r="J28" s="3">
        <f t="shared" si="4"/>
        <v>1.295991717149904</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164805.78</v>
      </c>
      <c r="E30" s="4"/>
      <c r="F30" s="3">
        <f>+(D30-B30)/B30+1</f>
        <v>1.4475694334650857</v>
      </c>
      <c r="G30" s="4"/>
      <c r="H30" s="5">
        <v>165984.39000000001</v>
      </c>
      <c r="I30" s="4"/>
      <c r="J30" s="3">
        <f t="shared" si="4"/>
        <v>0.99289927203395445</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828122</v>
      </c>
      <c r="C35" s="6"/>
      <c r="D35" s="33">
        <v>1877107.07</v>
      </c>
      <c r="E35" s="4"/>
      <c r="F35" s="3">
        <f>+(D35-B35)/B35+1</f>
        <v>2.2667035412656591</v>
      </c>
      <c r="G35" s="4"/>
      <c r="H35" s="33">
        <v>900797.01</v>
      </c>
      <c r="I35" s="4"/>
      <c r="J35" s="3">
        <f t="shared" ref="J35:J36" si="8">+(D35-H35)/H35+1</f>
        <v>2.0838291525856643</v>
      </c>
      <c r="K35" s="38"/>
    </row>
    <row r="36" spans="1:11" s="1" customFormat="1" ht="16.5" x14ac:dyDescent="0.35">
      <c r="A36" s="80" t="s">
        <v>55</v>
      </c>
      <c r="B36" s="26">
        <f>SUM(B10:B35)</f>
        <v>33634527</v>
      </c>
      <c r="C36" s="6"/>
      <c r="D36" s="8">
        <f>SUM(D10:D35)</f>
        <v>34107149.710000001</v>
      </c>
      <c r="E36" s="4"/>
      <c r="F36" s="3">
        <f>+(D36-B36)/B36+1</f>
        <v>1.0140517126939232</v>
      </c>
      <c r="G36" s="4"/>
      <c r="H36" s="8">
        <f>SUM(H10:H35)</f>
        <v>30852898.820000004</v>
      </c>
      <c r="I36" s="4"/>
      <c r="J36" s="3">
        <f t="shared" si="8"/>
        <v>1.105476341428588</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12444133</v>
      </c>
      <c r="C39" s="6"/>
      <c r="D39" s="90">
        <v>12799241.939999999</v>
      </c>
      <c r="E39" s="4"/>
      <c r="F39" s="3">
        <f t="shared" ref="F39:F49" si="9">+(D39-B39)/B39+1</f>
        <v>1.0285362539921423</v>
      </c>
      <c r="G39" s="4"/>
      <c r="H39" s="90">
        <v>10956879.5</v>
      </c>
      <c r="I39" s="4"/>
      <c r="J39" s="3">
        <f t="shared" ref="J39:J50" si="10">+(D39-H39)/H39+1</f>
        <v>1.1681466370055451</v>
      </c>
      <c r="K39" s="11"/>
    </row>
    <row r="40" spans="1:11" s="1" customFormat="1" x14ac:dyDescent="0.25">
      <c r="A40" s="4" t="s">
        <v>58</v>
      </c>
      <c r="B40" s="6">
        <v>405549</v>
      </c>
      <c r="C40" s="6"/>
      <c r="D40" s="90">
        <v>172036.49</v>
      </c>
      <c r="E40" s="4"/>
      <c r="F40" s="3">
        <f t="shared" si="9"/>
        <v>0.42420642141886677</v>
      </c>
      <c r="G40" s="4"/>
      <c r="H40" s="90">
        <v>265145.49</v>
      </c>
      <c r="I40" s="4"/>
      <c r="J40" s="3">
        <f t="shared" si="10"/>
        <v>0.64883807753999512</v>
      </c>
      <c r="K40" s="11"/>
    </row>
    <row r="41" spans="1:11" s="1" customFormat="1" x14ac:dyDescent="0.25">
      <c r="A41" s="4" t="s">
        <v>59</v>
      </c>
      <c r="B41" s="6">
        <v>3457236</v>
      </c>
      <c r="C41" s="6"/>
      <c r="D41" s="90">
        <v>3320788.28</v>
      </c>
      <c r="E41" s="4"/>
      <c r="F41" s="3">
        <f t="shared" si="9"/>
        <v>0.96053271457314449</v>
      </c>
      <c r="G41" s="4"/>
      <c r="H41" s="90">
        <v>3252131.72</v>
      </c>
      <c r="I41" s="4"/>
      <c r="J41" s="3">
        <f t="shared" si="10"/>
        <v>1.0211112482245952</v>
      </c>
      <c r="K41" s="11"/>
    </row>
    <row r="42" spans="1:11" s="1" customFormat="1" x14ac:dyDescent="0.25">
      <c r="A42" s="4" t="s">
        <v>60</v>
      </c>
      <c r="B42" s="6">
        <v>2691416</v>
      </c>
      <c r="C42" s="6"/>
      <c r="D42" s="90">
        <v>2604818.75</v>
      </c>
      <c r="E42" s="4"/>
      <c r="F42" s="3">
        <f t="shared" si="9"/>
        <v>0.96782465066715806</v>
      </c>
      <c r="G42" s="4"/>
      <c r="H42" s="90">
        <v>2499604.83</v>
      </c>
      <c r="I42" s="4"/>
      <c r="J42" s="3">
        <f t="shared" si="10"/>
        <v>1.0420922214332575</v>
      </c>
      <c r="K42" s="11"/>
    </row>
    <row r="43" spans="1:11" s="1" customFormat="1" x14ac:dyDescent="0.25">
      <c r="A43" s="4" t="s">
        <v>61</v>
      </c>
      <c r="B43" s="6">
        <v>7008252</v>
      </c>
      <c r="C43" s="6"/>
      <c r="D43" s="90">
        <v>7362237.9500000002</v>
      </c>
      <c r="E43" s="4"/>
      <c r="F43" s="3">
        <f t="shared" si="9"/>
        <v>1.0505098774986972</v>
      </c>
      <c r="G43" s="4"/>
      <c r="H43" s="90">
        <v>6468538.7400000002</v>
      </c>
      <c r="I43" s="4"/>
      <c r="J43" s="3">
        <f t="shared" si="10"/>
        <v>1.1381609117486711</v>
      </c>
      <c r="K43" s="11"/>
    </row>
    <row r="44" spans="1:11" s="1" customFormat="1" x14ac:dyDescent="0.25">
      <c r="A44" s="4" t="s">
        <v>62</v>
      </c>
      <c r="B44" s="6">
        <v>4874689</v>
      </c>
      <c r="C44" s="6"/>
      <c r="D44" s="90">
        <v>5276728.6399999997</v>
      </c>
      <c r="E44" s="4"/>
      <c r="F44" s="3">
        <f t="shared" si="9"/>
        <v>1.0824749312212532</v>
      </c>
      <c r="G44" s="4"/>
      <c r="H44" s="90">
        <v>4627102.74</v>
      </c>
      <c r="I44" s="4"/>
      <c r="J44" s="3">
        <f t="shared" si="10"/>
        <v>1.1403958235861431</v>
      </c>
      <c r="K44" s="11"/>
    </row>
    <row r="45" spans="1:11" s="1" customFormat="1" x14ac:dyDescent="0.25">
      <c r="A45" s="4" t="s">
        <v>63</v>
      </c>
      <c r="B45" s="6">
        <v>158000</v>
      </c>
      <c r="C45" s="6"/>
      <c r="D45" s="90">
        <v>1186101.78</v>
      </c>
      <c r="E45" s="4"/>
      <c r="F45" s="3">
        <f t="shared" si="9"/>
        <v>7.5069732911392411</v>
      </c>
      <c r="G45" s="4"/>
      <c r="H45" s="90">
        <v>808819.63</v>
      </c>
      <c r="I45" s="4"/>
      <c r="J45" s="3">
        <f t="shared" si="10"/>
        <v>1.4664601797560231</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1567980</v>
      </c>
      <c r="C47" s="6"/>
      <c r="D47" s="5">
        <v>0</v>
      </c>
      <c r="E47" s="4"/>
      <c r="F47" s="3">
        <f t="shared" si="9"/>
        <v>0</v>
      </c>
      <c r="G47" s="4"/>
      <c r="H47" s="5">
        <v>0</v>
      </c>
      <c r="I47" s="4"/>
      <c r="J47" s="3" t="e">
        <f t="shared" si="10"/>
        <v>#DIV/0!</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32616306</v>
      </c>
      <c r="C50" s="6"/>
      <c r="D50" s="8">
        <f>SUM(D39:D49)</f>
        <v>32721953.830000002</v>
      </c>
      <c r="E50" s="4"/>
      <c r="F50" s="3">
        <f>+(D50-B50)/B50+1</f>
        <v>1.0032391108300247</v>
      </c>
      <c r="G50" s="4"/>
      <c r="H50" s="8">
        <f>SUM(H39:H49)</f>
        <v>28878222.650000002</v>
      </c>
      <c r="I50" s="4"/>
      <c r="J50" s="3">
        <f t="shared" si="10"/>
        <v>1.1331013763064812</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-669886</v>
      </c>
      <c r="E54" s="4"/>
      <c r="F54" s="3">
        <f>+(D54-B54)/B54+1</f>
        <v>1.515579185520362</v>
      </c>
      <c r="G54" s="4"/>
      <c r="H54" s="33">
        <v>-656598</v>
      </c>
      <c r="I54" s="4"/>
      <c r="J54" s="3">
        <f t="shared" ref="J54:J55" si="12">+(D54-H54)/H54+1</f>
        <v>1.0202376492161109</v>
      </c>
      <c r="K54" s="11"/>
    </row>
    <row r="55" spans="1:11" s="1" customFormat="1" ht="16.5" x14ac:dyDescent="0.35">
      <c r="A55" s="80" t="s">
        <v>55</v>
      </c>
      <c r="B55" s="26">
        <f>SUM(B53:B54)</f>
        <v>-442000</v>
      </c>
      <c r="C55" s="6"/>
      <c r="D55" s="8">
        <f>SUM(D53:D54)</f>
        <v>-669886</v>
      </c>
      <c r="E55" s="4"/>
      <c r="F55" s="3">
        <f>+(D55-B55)/B55+1</f>
        <v>1.515579185520362</v>
      </c>
      <c r="G55" s="26">
        <f>SUM(G53:G54)</f>
        <v>0</v>
      </c>
      <c r="H55" s="8">
        <f>SUM(H53:H54)</f>
        <v>-656598</v>
      </c>
      <c r="I55" s="4"/>
      <c r="J55" s="3">
        <f t="shared" si="12"/>
        <v>1.0202376492161109</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576221</v>
      </c>
      <c r="C57" s="6"/>
      <c r="D57" s="9">
        <f>+D36-D50+D55</f>
        <v>715309.87999999896</v>
      </c>
      <c r="E57" s="4"/>
      <c r="F57" s="4"/>
      <c r="G57" s="4"/>
      <c r="H57" s="9">
        <f>+H36-H50+H55</f>
        <v>1318078.1700000018</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P43" sqref="P43"/>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August 31, 2024</v>
      </c>
      <c r="B3" s="130"/>
      <c r="C3" s="130"/>
      <c r="D3" s="130"/>
      <c r="E3" s="130"/>
      <c r="F3" s="130"/>
      <c r="G3" s="130"/>
      <c r="H3" s="130"/>
      <c r="I3" s="130"/>
      <c r="J3" s="130"/>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45169</v>
      </c>
      <c r="K7" s="11"/>
    </row>
    <row r="8" spans="1:11" s="1" customFormat="1" x14ac:dyDescent="0.25">
      <c r="A8" s="4"/>
      <c r="B8" s="22" t="s">
        <v>33</v>
      </c>
      <c r="C8" s="80"/>
      <c r="D8" s="28" t="s">
        <v>35</v>
      </c>
      <c r="E8" s="87"/>
      <c r="F8" s="22" t="s">
        <v>33</v>
      </c>
      <c r="G8" s="87"/>
      <c r="H8" s="24">
        <f>+'Revenues, Expenditures, Changes'!H9</f>
        <v>45169</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f>D31</f>
        <v>6757120.75</v>
      </c>
      <c r="C31" s="6"/>
      <c r="D31" s="7">
        <v>6757120.75</v>
      </c>
      <c r="E31" s="4"/>
      <c r="F31" s="3">
        <f t="shared" si="0"/>
        <v>1</v>
      </c>
      <c r="G31" s="4"/>
      <c r="H31" s="7">
        <v>5920981.5599999996</v>
      </c>
      <c r="I31" s="4"/>
      <c r="J31" s="3">
        <f t="shared" ref="J31:J33" si="1">+D31/H31</f>
        <v>1.1412163138032134</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f>D33</f>
        <v>4801458.75</v>
      </c>
      <c r="C33" s="6"/>
      <c r="D33" s="97">
        <v>4801458.75</v>
      </c>
      <c r="E33" s="4"/>
      <c r="F33" s="3">
        <f>+(D33-B33)/B33+1</f>
        <v>1</v>
      </c>
      <c r="G33" s="4"/>
      <c r="H33" s="8">
        <v>4108973.4</v>
      </c>
      <c r="I33" s="4"/>
      <c r="J33" s="3">
        <f t="shared" si="1"/>
        <v>1.1685300153074731</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11558579.5</v>
      </c>
      <c r="C36" s="6"/>
      <c r="D36" s="83">
        <f>SUM(D10:D35)</f>
        <v>11558579.5</v>
      </c>
      <c r="E36" s="4"/>
      <c r="F36" s="3">
        <f>+(D36-B36)/B36+1</f>
        <v>1</v>
      </c>
      <c r="G36" s="4"/>
      <c r="H36" s="8">
        <f>SUM(H10:H35)</f>
        <v>10029954.959999999</v>
      </c>
      <c r="I36" s="4"/>
      <c r="J36" s="3">
        <f t="shared" ref="J36" si="3">+D36/H36</f>
        <v>1.152405922668271</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f>D39</f>
        <v>1962380.05</v>
      </c>
      <c r="C39" s="6"/>
      <c r="D39" s="81">
        <v>1962380.05</v>
      </c>
      <c r="E39" s="4"/>
      <c r="F39" s="3">
        <f t="shared" ref="F39:F47" si="4">+(D39-B39)/B39+1</f>
        <v>1</v>
      </c>
      <c r="G39" s="4"/>
      <c r="H39" s="81">
        <v>2416942.0099999998</v>
      </c>
      <c r="I39" s="4"/>
      <c r="J39" s="3">
        <f t="shared" ref="J39:J49" si="5">+D39/H39</f>
        <v>0.81192682401180172</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f t="shared" si="6"/>
        <v>33811.85</v>
      </c>
      <c r="C41" s="6"/>
      <c r="D41" s="81">
        <v>33811.85</v>
      </c>
      <c r="E41" s="4"/>
      <c r="F41" s="3">
        <f t="shared" si="4"/>
        <v>1</v>
      </c>
      <c r="G41" s="4"/>
      <c r="H41" s="81">
        <v>89622.5</v>
      </c>
      <c r="I41" s="4"/>
      <c r="J41" s="3">
        <f t="shared" si="5"/>
        <v>0.37726965884682973</v>
      </c>
      <c r="K41" s="11"/>
    </row>
    <row r="42" spans="1:11" s="1" customFormat="1" x14ac:dyDescent="0.25">
      <c r="A42" s="4" t="s">
        <v>60</v>
      </c>
      <c r="B42" s="6">
        <f t="shared" si="6"/>
        <v>1015478.4</v>
      </c>
      <c r="C42" s="6"/>
      <c r="D42" s="81">
        <v>1015478.4</v>
      </c>
      <c r="E42" s="4"/>
      <c r="F42" s="3">
        <f t="shared" si="4"/>
        <v>1</v>
      </c>
      <c r="G42" s="4"/>
      <c r="H42" s="81">
        <v>1127446.95</v>
      </c>
      <c r="I42" s="4"/>
      <c r="J42" s="3">
        <f t="shared" si="5"/>
        <v>0.900688409330479</v>
      </c>
      <c r="K42" s="11"/>
    </row>
    <row r="43" spans="1:11" s="1" customFormat="1" x14ac:dyDescent="0.25">
      <c r="A43" s="4" t="s">
        <v>61</v>
      </c>
      <c r="B43" s="6">
        <f t="shared" si="6"/>
        <v>1789788.45</v>
      </c>
      <c r="C43" s="6"/>
      <c r="D43" s="81">
        <v>1789788.45</v>
      </c>
      <c r="E43" s="4"/>
      <c r="F43" s="3">
        <f t="shared" si="4"/>
        <v>1</v>
      </c>
      <c r="G43" s="4"/>
      <c r="H43" s="81">
        <v>513543.82</v>
      </c>
      <c r="I43" s="4"/>
      <c r="J43" s="3">
        <f t="shared" si="5"/>
        <v>3.4851718203911011</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f>D45</f>
        <v>6757120.75</v>
      </c>
      <c r="C45" s="6"/>
      <c r="D45" s="82">
        <v>6757120.75</v>
      </c>
      <c r="E45" s="4"/>
      <c r="F45" s="3">
        <f t="shared" si="4"/>
        <v>1</v>
      </c>
      <c r="G45" s="4"/>
      <c r="H45" s="82">
        <v>5882399.6799999997</v>
      </c>
      <c r="I45" s="4"/>
      <c r="J45" s="3">
        <f t="shared" si="5"/>
        <v>1.1487014003781533</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11558579.5</v>
      </c>
      <c r="C49" s="6"/>
      <c r="D49" s="83">
        <f>SUM(D39:D48)</f>
        <v>11558579.5</v>
      </c>
      <c r="E49" s="4"/>
      <c r="F49" s="3">
        <f>+(D49-B49)/B49+1</f>
        <v>1</v>
      </c>
      <c r="G49" s="4"/>
      <c r="H49" s="83">
        <f>SUM(H39:H48)</f>
        <v>10029954.959999999</v>
      </c>
      <c r="I49" s="4"/>
      <c r="J49" s="3">
        <f t="shared" si="5"/>
        <v>1.152405922668271</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A63" sqref="A63"/>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August 31, 2024</v>
      </c>
      <c r="B3" s="130"/>
      <c r="C3" s="130"/>
      <c r="D3" s="130"/>
      <c r="E3" s="130"/>
      <c r="F3" s="130"/>
      <c r="G3" s="130"/>
      <c r="H3" s="130"/>
      <c r="I3" s="130"/>
      <c r="J3" s="130"/>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45169</v>
      </c>
      <c r="K7" s="11"/>
      <c r="L7" s="11"/>
    </row>
    <row r="8" spans="1:12" s="1" customFormat="1" x14ac:dyDescent="0.25">
      <c r="A8" s="4"/>
      <c r="B8" s="22" t="s">
        <v>33</v>
      </c>
      <c r="C8" s="80"/>
      <c r="D8" s="28" t="s">
        <v>35</v>
      </c>
      <c r="E8" s="87"/>
      <c r="F8" s="22" t="s">
        <v>33</v>
      </c>
      <c r="G8" s="87"/>
      <c r="H8" s="24">
        <f>+'Revenues, Expenditures, Changes'!H9</f>
        <v>45169</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3"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7</v>
      </c>
      <c r="C28" s="6"/>
      <c r="D28" s="7">
        <v>7.32</v>
      </c>
      <c r="E28" s="4"/>
      <c r="F28" s="3">
        <f t="shared" si="0"/>
        <v>1.0457142857142858</v>
      </c>
      <c r="G28" s="4"/>
      <c r="H28" s="7">
        <v>4.96</v>
      </c>
      <c r="I28" s="4"/>
      <c r="J28" s="3">
        <f t="shared" ref="J28:J33" si="1">+D28/H28</f>
        <v>1.4758064516129032</v>
      </c>
      <c r="K28" s="11"/>
      <c r="L28" s="11"/>
    </row>
    <row r="29" spans="1:12" s="1" customFormat="1" hidden="1" x14ac:dyDescent="0.25">
      <c r="A29" s="4" t="s">
        <v>64</v>
      </c>
      <c r="B29" s="6">
        <v>0</v>
      </c>
      <c r="C29" s="6"/>
      <c r="D29" s="5">
        <v>0</v>
      </c>
      <c r="E29" s="4"/>
      <c r="F29" s="3" t="e">
        <f t="shared" si="0"/>
        <v>#DIV/0!</v>
      </c>
      <c r="G29" s="4"/>
      <c r="H29" s="6">
        <v>0</v>
      </c>
      <c r="I29" s="4"/>
      <c r="J29" s="3" t="e">
        <f t="shared" si="1"/>
        <v>#DIV/0!</v>
      </c>
      <c r="K29" s="11"/>
      <c r="L29" s="11"/>
    </row>
    <row r="30" spans="1:12" s="1" customFormat="1" hidden="1" x14ac:dyDescent="0.25">
      <c r="A30" s="4" t="s">
        <v>74</v>
      </c>
      <c r="B30" s="6">
        <v>0</v>
      </c>
      <c r="C30" s="6"/>
      <c r="D30" s="5">
        <v>0</v>
      </c>
      <c r="E30" s="4"/>
      <c r="F30" s="3" t="e">
        <f t="shared" si="0"/>
        <v>#DIV/0!</v>
      </c>
      <c r="G30" s="4"/>
      <c r="H30" s="6">
        <v>0</v>
      </c>
      <c r="I30" s="4"/>
      <c r="J30" s="3" t="e">
        <f t="shared" si="1"/>
        <v>#DIV/0!</v>
      </c>
      <c r="K30" s="11"/>
      <c r="L30" s="11"/>
    </row>
    <row r="31" spans="1:12" s="1" customFormat="1" hidden="1" x14ac:dyDescent="0.25">
      <c r="A31" s="4" t="s">
        <v>63</v>
      </c>
      <c r="B31" s="84">
        <v>0</v>
      </c>
      <c r="C31" s="6"/>
      <c r="D31" s="5">
        <v>0</v>
      </c>
      <c r="E31" s="4"/>
      <c r="F31" s="3" t="e">
        <f t="shared" si="0"/>
        <v>#DIV/0!</v>
      </c>
      <c r="G31" s="4"/>
      <c r="H31" s="5">
        <v>0</v>
      </c>
      <c r="I31" s="4"/>
      <c r="J31" s="3" t="e">
        <f t="shared" si="1"/>
        <v>#DIV/0!</v>
      </c>
      <c r="K31" s="11"/>
      <c r="L31" s="11"/>
    </row>
    <row r="32" spans="1:12" s="1" customFormat="1" hidden="1" x14ac:dyDescent="0.25">
      <c r="A32" s="4" t="s">
        <v>51</v>
      </c>
      <c r="B32" s="6"/>
      <c r="C32" s="6"/>
      <c r="D32" s="5"/>
      <c r="E32" s="4"/>
      <c r="F32" s="3" t="e">
        <f t="shared" si="0"/>
        <v>#DIV/0!</v>
      </c>
      <c r="G32" s="4"/>
      <c r="H32" s="5"/>
      <c r="I32" s="4"/>
      <c r="J32" s="3" t="e">
        <f t="shared" si="1"/>
        <v>#DIV/0!</v>
      </c>
      <c r="K32" s="11"/>
      <c r="L32" s="11"/>
    </row>
    <row r="33" spans="1:12" s="1" customFormat="1" hidden="1" x14ac:dyDescent="0.25">
      <c r="A33" s="10" t="s">
        <v>53</v>
      </c>
      <c r="B33" s="6">
        <v>0</v>
      </c>
      <c r="C33" s="6"/>
      <c r="D33" s="5">
        <v>0</v>
      </c>
      <c r="E33" s="4"/>
      <c r="F33" s="3" t="e">
        <f t="shared" si="0"/>
        <v>#DIV/0!</v>
      </c>
      <c r="G33" s="4"/>
      <c r="H33" s="5">
        <v>0</v>
      </c>
      <c r="I33" s="4"/>
      <c r="J33" s="3" t="e">
        <f t="shared" si="1"/>
        <v>#DIV/0!</v>
      </c>
      <c r="K33" s="11"/>
      <c r="L33" s="11"/>
    </row>
    <row r="34" spans="1:12" s="1" customFormat="1" ht="16.5" x14ac:dyDescent="0.35">
      <c r="A34" s="29" t="s">
        <v>52</v>
      </c>
      <c r="B34" s="79">
        <f>781994+99635</f>
        <v>881629</v>
      </c>
      <c r="C34" s="81"/>
      <c r="D34" s="98">
        <v>781994.19</v>
      </c>
      <c r="E34" s="4"/>
      <c r="F34" s="3">
        <f t="shared" ref="F34:F36" si="2">+(D34-B34)/B34+1</f>
        <v>0.88698782594492687</v>
      </c>
      <c r="G34" s="4"/>
      <c r="H34" s="98">
        <v>329137.73</v>
      </c>
      <c r="I34" s="4"/>
      <c r="J34" s="3">
        <f>+D34/H34</f>
        <v>2.3758874134545436</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881636</v>
      </c>
      <c r="C36" s="6"/>
      <c r="D36" s="8">
        <f>SUM(D10:D35)</f>
        <v>782001.50999999989</v>
      </c>
      <c r="E36" s="4"/>
      <c r="F36" s="3">
        <f t="shared" si="2"/>
        <v>0.88698908619883932</v>
      </c>
      <c r="G36" s="4"/>
      <c r="H36" s="8">
        <f>SUM(H10:H35)</f>
        <v>329142.69</v>
      </c>
      <c r="I36" s="4"/>
      <c r="J36" s="3">
        <f>+D36/H36</f>
        <v>2.3758738497276055</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137436</v>
      </c>
      <c r="C39" s="6"/>
      <c r="D39" s="5">
        <v>137436.43</v>
      </c>
      <c r="E39" s="4"/>
      <c r="F39" s="3">
        <f>+(D39-B39)/B39+1</f>
        <v>1.0000031287290083</v>
      </c>
      <c r="G39" s="4"/>
      <c r="H39" s="5">
        <v>107390.77</v>
      </c>
      <c r="I39" s="4"/>
      <c r="J39" s="3">
        <f>+D39/H39</f>
        <v>1.2797787929074351</v>
      </c>
      <c r="K39" s="11"/>
      <c r="L39" s="11"/>
    </row>
    <row r="40" spans="1:12" s="1" customFormat="1" hidden="1" x14ac:dyDescent="0.25">
      <c r="A40" s="4" t="s">
        <v>58</v>
      </c>
      <c r="B40" s="6">
        <f t="shared" ref="B40:B45" si="3">D40</f>
        <v>0</v>
      </c>
      <c r="C40" s="6"/>
      <c r="D40" s="5">
        <v>0</v>
      </c>
      <c r="E40" s="4"/>
      <c r="F40" s="3" t="e">
        <f t="shared" ref="F40:F43" si="4">+(D40-B40)/B40+1</f>
        <v>#DIV/0!</v>
      </c>
      <c r="G40" s="4"/>
      <c r="H40" s="5">
        <v>0</v>
      </c>
      <c r="I40" s="4"/>
      <c r="J40" s="3" t="e">
        <f t="shared" ref="J40:J42" si="5">+D40/H40</f>
        <v>#DIV/0!</v>
      </c>
      <c r="K40" s="11"/>
      <c r="L40" s="11"/>
    </row>
    <row r="41" spans="1:12" s="1" customFormat="1" hidden="1" x14ac:dyDescent="0.25">
      <c r="A41" s="4" t="s">
        <v>59</v>
      </c>
      <c r="B41" s="6">
        <f t="shared" si="3"/>
        <v>0</v>
      </c>
      <c r="C41" s="6"/>
      <c r="D41" s="5">
        <v>0</v>
      </c>
      <c r="E41" s="4"/>
      <c r="F41" s="3" t="e">
        <f t="shared" si="4"/>
        <v>#DIV/0!</v>
      </c>
      <c r="G41" s="4"/>
      <c r="H41" s="5">
        <v>0</v>
      </c>
      <c r="I41" s="4"/>
      <c r="J41" s="3" t="e">
        <f t="shared" si="5"/>
        <v>#DIV/0!</v>
      </c>
      <c r="K41" s="11"/>
      <c r="L41" s="11"/>
    </row>
    <row r="42" spans="1:12" s="1" customFormat="1" hidden="1" x14ac:dyDescent="0.25">
      <c r="A42" s="4" t="s">
        <v>60</v>
      </c>
      <c r="B42" s="6">
        <f t="shared" si="3"/>
        <v>0</v>
      </c>
      <c r="C42" s="6"/>
      <c r="D42" s="5">
        <v>0</v>
      </c>
      <c r="E42" s="4"/>
      <c r="F42" s="3" t="e">
        <f t="shared" si="4"/>
        <v>#DIV/0!</v>
      </c>
      <c r="G42" s="4"/>
      <c r="H42" s="5">
        <v>0</v>
      </c>
      <c r="I42" s="4"/>
      <c r="J42" s="3" t="e">
        <f t="shared" si="5"/>
        <v>#DIV/0!</v>
      </c>
      <c r="K42" s="11"/>
      <c r="L42" s="11"/>
    </row>
    <row r="43" spans="1:12" s="1" customFormat="1" x14ac:dyDescent="0.25">
      <c r="A43" s="4" t="s">
        <v>61</v>
      </c>
      <c r="B43" s="6">
        <v>213365</v>
      </c>
      <c r="C43" s="6"/>
      <c r="D43" s="5">
        <v>213364.76</v>
      </c>
      <c r="E43" s="4"/>
      <c r="F43" s="3">
        <f t="shared" si="4"/>
        <v>0.99999887516696739</v>
      </c>
      <c r="G43" s="4"/>
      <c r="H43" s="5">
        <v>8420</v>
      </c>
      <c r="I43" s="4"/>
      <c r="J43" s="3">
        <v>0</v>
      </c>
      <c r="K43" s="11"/>
      <c r="L43" s="11"/>
    </row>
    <row r="44" spans="1:12" s="1" customFormat="1" hidden="1" x14ac:dyDescent="0.25">
      <c r="A44" s="4" t="s">
        <v>62</v>
      </c>
      <c r="B44" s="6">
        <f t="shared" si="3"/>
        <v>0</v>
      </c>
      <c r="C44" s="6"/>
      <c r="D44" s="5">
        <v>0</v>
      </c>
      <c r="E44" s="4"/>
      <c r="F44" s="3" t="e">
        <f t="shared" ref="F44:F47" si="6">+(D44-B44)/B44+1</f>
        <v>#DIV/0!</v>
      </c>
      <c r="G44" s="4"/>
      <c r="H44" s="5">
        <v>0</v>
      </c>
      <c r="I44" s="4"/>
      <c r="J44" s="3" t="e">
        <f t="shared" ref="J44:J48" si="7">+D44/H44</f>
        <v>#DIV/0!</v>
      </c>
      <c r="K44" s="11"/>
      <c r="L44" s="11"/>
    </row>
    <row r="45" spans="1:12" s="1" customFormat="1" ht="16.5" x14ac:dyDescent="0.35">
      <c r="A45" s="4" t="s">
        <v>63</v>
      </c>
      <c r="B45" s="26">
        <v>758721</v>
      </c>
      <c r="C45" s="6"/>
      <c r="D45" s="8">
        <v>758721.4</v>
      </c>
      <c r="E45" s="4"/>
      <c r="F45" s="3">
        <f t="shared" si="6"/>
        <v>1.0000005272030166</v>
      </c>
      <c r="G45" s="4"/>
      <c r="H45" s="8">
        <v>505999.92</v>
      </c>
      <c r="I45" s="4"/>
      <c r="J45" s="3">
        <f>+D45/H45</f>
        <v>1.499449644181762</v>
      </c>
      <c r="K45" s="11"/>
      <c r="L45" s="11"/>
    </row>
    <row r="46" spans="1:12" s="1" customFormat="1" hidden="1" x14ac:dyDescent="0.25">
      <c r="A46" s="4" t="s">
        <v>64</v>
      </c>
      <c r="B46" s="6">
        <v>0</v>
      </c>
      <c r="C46" s="6"/>
      <c r="D46" s="5">
        <v>0</v>
      </c>
      <c r="E46" s="4"/>
      <c r="F46" s="3" t="e">
        <f t="shared" si="6"/>
        <v>#DIV/0!</v>
      </c>
      <c r="G46" s="4"/>
      <c r="H46" s="5">
        <v>0</v>
      </c>
      <c r="I46" s="4"/>
      <c r="J46" s="3" t="e">
        <f t="shared" si="7"/>
        <v>#DIV/0!</v>
      </c>
      <c r="K46" s="11"/>
      <c r="L46" s="11"/>
    </row>
    <row r="47" spans="1:12" s="1" customFormat="1" hidden="1" x14ac:dyDescent="0.25">
      <c r="A47" s="4" t="s">
        <v>76</v>
      </c>
      <c r="B47" s="6">
        <v>0</v>
      </c>
      <c r="C47" s="6"/>
      <c r="D47" s="5">
        <v>0</v>
      </c>
      <c r="E47" s="4"/>
      <c r="F47" s="3" t="e">
        <f t="shared" si="6"/>
        <v>#DIV/0!</v>
      </c>
      <c r="G47" s="4"/>
      <c r="H47" s="5">
        <v>0</v>
      </c>
      <c r="I47" s="4"/>
      <c r="J47" s="3" t="e">
        <f t="shared" si="7"/>
        <v>#DIV/0!</v>
      </c>
      <c r="K47" s="11"/>
      <c r="L47" s="11"/>
    </row>
    <row r="48" spans="1:12" s="1" customFormat="1" hidden="1" x14ac:dyDescent="0.25">
      <c r="A48" s="4" t="s">
        <v>50</v>
      </c>
      <c r="B48" s="27">
        <v>0</v>
      </c>
      <c r="C48" s="6"/>
      <c r="D48" s="33">
        <v>0</v>
      </c>
      <c r="E48" s="4"/>
      <c r="F48" s="3" t="e">
        <f>+(D48-B48)/B48+1</f>
        <v>#DIV/0!</v>
      </c>
      <c r="G48" s="4"/>
      <c r="H48" s="33">
        <v>0</v>
      </c>
      <c r="I48" s="4"/>
      <c r="J48" s="3" t="e">
        <f t="shared" si="7"/>
        <v>#DIV/0!</v>
      </c>
      <c r="K48" s="11"/>
      <c r="L48" s="11"/>
    </row>
    <row r="49" spans="1:12" s="1" customFormat="1" ht="16.5" x14ac:dyDescent="0.35">
      <c r="A49" s="56" t="s">
        <v>55</v>
      </c>
      <c r="B49" s="26">
        <f>SUM(B39:B48)</f>
        <v>1109522</v>
      </c>
      <c r="C49" s="6"/>
      <c r="D49" s="8">
        <f>SUM(D39:D48)</f>
        <v>1109522.5900000001</v>
      </c>
      <c r="E49" s="4"/>
      <c r="F49" s="3">
        <f>+(D49-B49)/B49+1</f>
        <v>1.0000005317605241</v>
      </c>
      <c r="G49" s="4"/>
      <c r="H49" s="8">
        <f>SUM(H39:H48)</f>
        <v>621810.68999999994</v>
      </c>
      <c r="I49" s="4"/>
      <c r="J49" s="3">
        <f>+D49/H49</f>
        <v>1.7843414528624462</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227886</v>
      </c>
      <c r="C52" s="6"/>
      <c r="D52" s="8">
        <v>227886</v>
      </c>
      <c r="E52" s="4"/>
      <c r="F52" s="3">
        <f>+(D52-B52)/B52+1</f>
        <v>1</v>
      </c>
      <c r="G52" s="4"/>
      <c r="H52" s="8">
        <v>214598</v>
      </c>
      <c r="I52" s="4"/>
      <c r="J52" s="3">
        <f>+D52/H52</f>
        <v>1.0619204279629819</v>
      </c>
      <c r="K52" s="11"/>
      <c r="L52" s="11"/>
    </row>
    <row r="53" spans="1:12" s="1" customFormat="1" hidden="1" x14ac:dyDescent="0.25">
      <c r="A53" s="4" t="s">
        <v>67</v>
      </c>
      <c r="B53" s="27">
        <v>0</v>
      </c>
      <c r="C53" s="6"/>
      <c r="D53" s="33">
        <v>0</v>
      </c>
      <c r="E53" s="4"/>
      <c r="F53" s="3" t="e">
        <f t="shared" ref="F53" si="8">+(D53-B53)/B53+1</f>
        <v>#DIV/0!</v>
      </c>
      <c r="G53" s="4"/>
      <c r="H53" s="27">
        <v>0</v>
      </c>
      <c r="I53" s="4"/>
      <c r="J53" s="3" t="e">
        <f t="shared" ref="J53" si="9">+(H53-D53)/D53+1</f>
        <v>#DIV/0!</v>
      </c>
      <c r="K53" s="11"/>
      <c r="L53" s="11"/>
    </row>
    <row r="54" spans="1:12" s="1" customFormat="1" ht="16.5" x14ac:dyDescent="0.35">
      <c r="A54" s="56" t="s">
        <v>55</v>
      </c>
      <c r="B54" s="26">
        <f>SUM(B52:B53)</f>
        <v>227886</v>
      </c>
      <c r="C54" s="6"/>
      <c r="D54" s="8">
        <f>SUM(D52:D53)</f>
        <v>227886</v>
      </c>
      <c r="E54" s="4"/>
      <c r="F54" s="3"/>
      <c r="G54" s="26">
        <f>SUM(G52:G53)</f>
        <v>0</v>
      </c>
      <c r="H54" s="8">
        <f>SUM(H52:H53)</f>
        <v>214598</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-99635.080000000191</v>
      </c>
      <c r="E56" s="4"/>
      <c r="F56" s="3"/>
      <c r="G56" s="4"/>
      <c r="H56" s="9">
        <f>+H36-H49+H54</f>
        <v>-78069.999999999942</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D61" sqref="D61"/>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August 31, 2024</v>
      </c>
      <c r="B3" s="130"/>
      <c r="C3" s="130"/>
      <c r="D3" s="130"/>
      <c r="E3" s="130"/>
      <c r="F3" s="130"/>
      <c r="G3" s="130"/>
      <c r="H3" s="130"/>
      <c r="I3" s="130"/>
      <c r="J3" s="130"/>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45169</v>
      </c>
      <c r="K7" s="11"/>
      <c r="L7" s="11"/>
    </row>
    <row r="8" spans="1:12" s="1" customFormat="1" x14ac:dyDescent="0.25">
      <c r="A8" s="4"/>
      <c r="B8" s="22" t="s">
        <v>33</v>
      </c>
      <c r="C8" s="56"/>
      <c r="D8" s="28" t="s">
        <v>35</v>
      </c>
      <c r="E8" s="87"/>
      <c r="F8" s="22" t="s">
        <v>33</v>
      </c>
      <c r="G8" s="87"/>
      <c r="H8" s="24">
        <f>+'Revenues, Expenditures, Changes'!H9</f>
        <v>45169</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f>D35</f>
        <v>133142.75</v>
      </c>
      <c r="C35" s="6"/>
      <c r="D35" s="85">
        <v>133142.75</v>
      </c>
      <c r="E35" s="4"/>
      <c r="F35" s="3">
        <f>+(D35-B35)/B35+1+0.0008</f>
        <v>1.0007999999999999</v>
      </c>
      <c r="G35" s="4"/>
      <c r="H35" s="85">
        <v>102430.21</v>
      </c>
      <c r="I35" s="4"/>
      <c r="J35" s="3">
        <f t="shared" ref="J35:J36" si="1">+D35/H35</f>
        <v>1.2998386901676759</v>
      </c>
      <c r="K35" s="11"/>
      <c r="L35" s="11"/>
    </row>
    <row r="36" spans="1:12" s="1" customFormat="1" ht="16.5" x14ac:dyDescent="0.35">
      <c r="A36" s="56" t="s">
        <v>55</v>
      </c>
      <c r="B36" s="26">
        <f>SUM(B10:B35)</f>
        <v>133142.75</v>
      </c>
      <c r="C36" s="6"/>
      <c r="D36" s="8">
        <f>SUM(D10:D35)</f>
        <v>133142.75</v>
      </c>
      <c r="E36" s="4"/>
      <c r="F36" s="3">
        <f>+(D36-B36)/B36+1+0.0008</f>
        <v>1.0007999999999999</v>
      </c>
      <c r="G36" s="4"/>
      <c r="H36" s="8">
        <f>SUM(H10:H35)</f>
        <v>102430.21</v>
      </c>
      <c r="I36" s="4"/>
      <c r="J36" s="3">
        <f t="shared" si="1"/>
        <v>1.2998386901676759</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f>D39</f>
        <v>125832.44</v>
      </c>
      <c r="C39" s="6"/>
      <c r="D39" s="5">
        <v>125832.44</v>
      </c>
      <c r="E39" s="4"/>
      <c r="F39" s="3">
        <f>+(D39-B39)/B39+1</f>
        <v>1</v>
      </c>
      <c r="G39" s="4"/>
      <c r="H39" s="5">
        <v>82503.710000000006</v>
      </c>
      <c r="I39" s="4"/>
      <c r="J39" s="3">
        <f t="shared" ref="J39:J49" si="2">+D39/H39</f>
        <v>1.525173110397096</v>
      </c>
      <c r="K39" s="11"/>
      <c r="L39" s="11"/>
    </row>
    <row r="40" spans="1:12" s="1" customFormat="1" x14ac:dyDescent="0.25">
      <c r="A40" s="4" t="s">
        <v>58</v>
      </c>
      <c r="B40" s="6">
        <f>D40</f>
        <v>0</v>
      </c>
      <c r="C40" s="6"/>
      <c r="D40" s="5">
        <v>0</v>
      </c>
      <c r="E40" s="4"/>
      <c r="F40" s="3">
        <v>0</v>
      </c>
      <c r="G40" s="4"/>
      <c r="H40" s="5">
        <v>0</v>
      </c>
      <c r="I40" s="4"/>
      <c r="J40" s="3">
        <v>0</v>
      </c>
      <c r="K40" s="11"/>
      <c r="L40" s="11"/>
    </row>
    <row r="41" spans="1:12" s="1" customFormat="1" ht="16.5" x14ac:dyDescent="0.35">
      <c r="A41" s="4" t="s">
        <v>59</v>
      </c>
      <c r="B41" s="8">
        <f>D41</f>
        <v>7310.31</v>
      </c>
      <c r="C41" s="6"/>
      <c r="D41" s="8">
        <v>7310.31</v>
      </c>
      <c r="E41" s="4"/>
      <c r="F41" s="3">
        <f t="shared" ref="F41" si="3">+(D41-B41)/B41+1</f>
        <v>1</v>
      </c>
      <c r="G41" s="4"/>
      <c r="H41" s="8">
        <v>19926.5</v>
      </c>
      <c r="I41" s="4"/>
      <c r="J41" s="3">
        <f t="shared" si="2"/>
        <v>0.36686372418638497</v>
      </c>
      <c r="K41" s="11"/>
      <c r="L41" s="11"/>
    </row>
    <row r="42" spans="1:12" s="1" customFormat="1" hidden="1" x14ac:dyDescent="0.25">
      <c r="A42" s="4" t="s">
        <v>60</v>
      </c>
      <c r="B42" s="6">
        <v>0</v>
      </c>
      <c r="C42" s="6"/>
      <c r="D42" s="5">
        <v>0</v>
      </c>
      <c r="E42" s="4"/>
      <c r="F42" s="3">
        <v>0</v>
      </c>
      <c r="G42" s="4"/>
      <c r="H42" s="5">
        <v>0</v>
      </c>
      <c r="I42" s="4"/>
      <c r="J42" s="3" t="e">
        <f t="shared" si="2"/>
        <v>#DIV/0!</v>
      </c>
      <c r="K42" s="11"/>
      <c r="L42" s="11"/>
    </row>
    <row r="43" spans="1:12" s="1" customFormat="1" hidden="1" x14ac:dyDescent="0.25">
      <c r="A43" s="4" t="s">
        <v>61</v>
      </c>
      <c r="B43" s="6">
        <v>0</v>
      </c>
      <c r="C43" s="6"/>
      <c r="D43" s="5">
        <v>0</v>
      </c>
      <c r="E43" s="4"/>
      <c r="F43" s="3">
        <v>0</v>
      </c>
      <c r="G43" s="4"/>
      <c r="H43" s="5">
        <v>0</v>
      </c>
      <c r="I43" s="4"/>
      <c r="J43" s="3" t="e">
        <f t="shared" si="2"/>
        <v>#DIV/0!</v>
      </c>
      <c r="K43" s="11"/>
      <c r="L43" s="11"/>
    </row>
    <row r="44" spans="1:12" s="1" customFormat="1" hidden="1" x14ac:dyDescent="0.25">
      <c r="A44" s="4" t="s">
        <v>62</v>
      </c>
      <c r="B44" s="6">
        <v>0</v>
      </c>
      <c r="C44" s="6"/>
      <c r="D44" s="5">
        <v>0</v>
      </c>
      <c r="E44" s="4"/>
      <c r="F44" s="3">
        <v>0</v>
      </c>
      <c r="G44" s="4"/>
      <c r="H44" s="5">
        <v>0</v>
      </c>
      <c r="I44" s="4"/>
      <c r="J44" s="3" t="e">
        <f t="shared" si="2"/>
        <v>#DIV/0!</v>
      </c>
      <c r="K44" s="11"/>
      <c r="L44" s="11"/>
    </row>
    <row r="45" spans="1:12" s="1" customFormat="1" ht="16.5" hidden="1" x14ac:dyDescent="0.35">
      <c r="A45" s="4" t="s">
        <v>63</v>
      </c>
      <c r="B45" s="26">
        <v>0</v>
      </c>
      <c r="C45" s="6"/>
      <c r="D45" s="8">
        <v>0</v>
      </c>
      <c r="E45" s="4"/>
      <c r="F45" s="3">
        <v>0</v>
      </c>
      <c r="G45" s="4"/>
      <c r="H45" s="8">
        <v>0</v>
      </c>
      <c r="I45" s="4"/>
      <c r="J45" s="3" t="e">
        <f t="shared" si="2"/>
        <v>#DIV/0!</v>
      </c>
      <c r="K45" s="11"/>
      <c r="L45" s="11"/>
    </row>
    <row r="46" spans="1:12" s="1" customFormat="1" hidden="1" x14ac:dyDescent="0.25">
      <c r="A46" s="4" t="s">
        <v>64</v>
      </c>
      <c r="B46" s="6">
        <v>0</v>
      </c>
      <c r="C46" s="6"/>
      <c r="D46" s="5">
        <v>0</v>
      </c>
      <c r="E46" s="4"/>
      <c r="F46" s="3">
        <v>0</v>
      </c>
      <c r="G46" s="4"/>
      <c r="H46" s="5">
        <v>0</v>
      </c>
      <c r="I46" s="4"/>
      <c r="J46" s="3" t="e">
        <f t="shared" si="2"/>
        <v>#DIV/0!</v>
      </c>
      <c r="K46" s="11"/>
      <c r="L46" s="11"/>
    </row>
    <row r="47" spans="1:12" s="1" customFormat="1" hidden="1" x14ac:dyDescent="0.25">
      <c r="A47" s="4" t="s">
        <v>76</v>
      </c>
      <c r="B47" s="6">
        <v>0</v>
      </c>
      <c r="C47" s="6"/>
      <c r="D47" s="5">
        <v>0</v>
      </c>
      <c r="E47" s="4"/>
      <c r="F47" s="3">
        <v>0</v>
      </c>
      <c r="G47" s="4"/>
      <c r="H47" s="5">
        <v>0</v>
      </c>
      <c r="I47" s="4"/>
      <c r="J47" s="3" t="e">
        <f t="shared" si="2"/>
        <v>#DIV/0!</v>
      </c>
      <c r="K47" s="11"/>
      <c r="L47" s="11"/>
    </row>
    <row r="48" spans="1:12" s="1" customFormat="1" hidden="1" x14ac:dyDescent="0.25">
      <c r="A48" s="4" t="s">
        <v>50</v>
      </c>
      <c r="B48" s="27">
        <v>0</v>
      </c>
      <c r="C48" s="6"/>
      <c r="D48" s="33">
        <v>0</v>
      </c>
      <c r="E48" s="4"/>
      <c r="F48" s="3">
        <v>0</v>
      </c>
      <c r="G48" s="4"/>
      <c r="H48" s="33">
        <v>0</v>
      </c>
      <c r="I48" s="4"/>
      <c r="J48" s="3" t="e">
        <f t="shared" si="2"/>
        <v>#DIV/0!</v>
      </c>
      <c r="K48" s="11"/>
      <c r="L48" s="11"/>
    </row>
    <row r="49" spans="1:12" s="1" customFormat="1" ht="16.5" x14ac:dyDescent="0.35">
      <c r="A49" s="56" t="s">
        <v>55</v>
      </c>
      <c r="B49" s="26">
        <f>SUM(B39:B48)</f>
        <v>133142.75</v>
      </c>
      <c r="C49" s="6"/>
      <c r="D49" s="8">
        <f>SUM(D39:D48)</f>
        <v>133142.75</v>
      </c>
      <c r="E49" s="4"/>
      <c r="F49" s="3">
        <f>+(D49-B49)/B49+1+0.0008</f>
        <v>1.0007999999999999</v>
      </c>
      <c r="G49" s="4"/>
      <c r="H49" s="8">
        <f>SUM(H39:H48)</f>
        <v>102430.21</v>
      </c>
      <c r="I49" s="4"/>
      <c r="J49" s="3">
        <f t="shared" si="2"/>
        <v>1.2998386901676759</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4">+(D52-B52)/B52+1</f>
        <v>#DIV/0!</v>
      </c>
      <c r="G52" s="4"/>
      <c r="H52" s="5">
        <v>0</v>
      </c>
      <c r="I52" s="4"/>
      <c r="J52" s="3" t="e">
        <f t="shared" ref="J52:J53" si="5">+(H52-D52)/D52+1</f>
        <v>#DIV/0!</v>
      </c>
      <c r="K52" s="11"/>
      <c r="L52" s="11"/>
    </row>
    <row r="53" spans="1:12" s="1" customFormat="1" hidden="1" x14ac:dyDescent="0.25">
      <c r="A53" s="4" t="s">
        <v>67</v>
      </c>
      <c r="B53" s="27">
        <v>0</v>
      </c>
      <c r="C53" s="6"/>
      <c r="D53" s="33">
        <v>0</v>
      </c>
      <c r="E53" s="4"/>
      <c r="F53" s="4" t="e">
        <f t="shared" si="4"/>
        <v>#DIV/0!</v>
      </c>
      <c r="G53" s="4"/>
      <c r="H53" s="33">
        <v>0</v>
      </c>
      <c r="I53" s="4"/>
      <c r="J53" s="3" t="e">
        <f t="shared" si="5"/>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f>
        <v>0</v>
      </c>
      <c r="C56" s="6"/>
      <c r="D56" s="9">
        <f>D36-D49</f>
        <v>0</v>
      </c>
      <c r="E56" s="4"/>
      <c r="F56" s="4"/>
      <c r="G56" s="4"/>
      <c r="H56" s="9">
        <f>H36-H49</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N27" sqref="N27"/>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August 31, 2024</v>
      </c>
      <c r="B3" s="130"/>
      <c r="C3" s="130"/>
      <c r="D3" s="130"/>
      <c r="E3" s="130"/>
      <c r="F3" s="130"/>
      <c r="G3" s="130"/>
      <c r="H3" s="130"/>
      <c r="I3" s="130"/>
      <c r="J3" s="130"/>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45169</v>
      </c>
      <c r="K7" s="11"/>
    </row>
    <row r="8" spans="1:11" s="1" customFormat="1" x14ac:dyDescent="0.25">
      <c r="A8" s="4"/>
      <c r="B8" s="22" t="s">
        <v>33</v>
      </c>
      <c r="C8" s="56"/>
      <c r="D8" s="23" t="s">
        <v>35</v>
      </c>
      <c r="E8" s="87"/>
      <c r="F8" s="22" t="s">
        <v>33</v>
      </c>
      <c r="G8" s="87"/>
      <c r="H8" s="24">
        <f>+'Revenues, Expenditures, Changes'!H9</f>
        <v>45169</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1963492.66</v>
      </c>
      <c r="E10" s="4"/>
      <c r="F10" s="3">
        <f>+D10/B10</f>
        <v>0.8021131010253687</v>
      </c>
      <c r="G10" s="4"/>
      <c r="H10" s="5">
        <v>2269937.48</v>
      </c>
      <c r="I10" s="4"/>
      <c r="J10" s="3">
        <f>+D10/H10</f>
        <v>0.8649985637489892</v>
      </c>
      <c r="K10" s="11"/>
    </row>
    <row r="11" spans="1:11" s="1" customFormat="1" hidden="1" x14ac:dyDescent="0.25">
      <c r="A11" s="4" t="s">
        <v>74</v>
      </c>
      <c r="B11" s="52">
        <v>0</v>
      </c>
      <c r="C11" s="6"/>
      <c r="D11" s="5">
        <v>0</v>
      </c>
      <c r="E11" s="4"/>
      <c r="F11" s="3" t="e">
        <f t="shared" ref="F11" si="0">+D11/B11</f>
        <v>#DIV/0!</v>
      </c>
      <c r="G11" s="4"/>
      <c r="H11" s="5">
        <v>0</v>
      </c>
      <c r="I11" s="4"/>
      <c r="J11" s="3">
        <v>0</v>
      </c>
      <c r="K11" s="11"/>
    </row>
    <row r="12" spans="1:11" s="1" customFormat="1" ht="16.5" x14ac:dyDescent="0.35">
      <c r="A12" s="4" t="s">
        <v>78</v>
      </c>
      <c r="B12" s="55">
        <v>0</v>
      </c>
      <c r="C12" s="6"/>
      <c r="D12" s="33">
        <v>646.85</v>
      </c>
      <c r="E12" s="4"/>
      <c r="F12" s="3">
        <v>0</v>
      </c>
      <c r="G12" s="4"/>
      <c r="H12" s="8">
        <v>370.18</v>
      </c>
      <c r="I12" s="4"/>
      <c r="J12" s="3">
        <f>+D12/H12</f>
        <v>1.7473931600842834</v>
      </c>
      <c r="K12" s="11"/>
    </row>
    <row r="13" spans="1:11" s="1" customFormat="1" ht="16.5" x14ac:dyDescent="0.35">
      <c r="A13" s="56" t="s">
        <v>55</v>
      </c>
      <c r="B13" s="26">
        <f>SUM(B10:B12)</f>
        <v>2447900</v>
      </c>
      <c r="C13" s="6"/>
      <c r="D13" s="8">
        <f>SUM(D10:D12)</f>
        <v>1964139.51</v>
      </c>
      <c r="E13" s="4"/>
      <c r="F13" s="3">
        <f>+D13/B13</f>
        <v>0.80237734793087956</v>
      </c>
      <c r="G13" s="4"/>
      <c r="H13" s="8">
        <f>SUM(H10:H12)</f>
        <v>2270307.66</v>
      </c>
      <c r="I13" s="4"/>
      <c r="J13" s="3">
        <f>+D13/H13</f>
        <v>0.8651424406505327</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543733.43999999994</v>
      </c>
      <c r="E16" s="4"/>
      <c r="F16" s="3">
        <f t="shared" ref="F16:F30" si="1">+D16/B16</f>
        <v>0.95802943860848477</v>
      </c>
      <c r="G16" s="4"/>
      <c r="H16" s="95">
        <v>549891.09</v>
      </c>
      <c r="I16" s="4"/>
      <c r="J16" s="3">
        <f t="shared" ref="J16:J30" si="2">+D16/H16</f>
        <v>0.98880205533062915</v>
      </c>
      <c r="K16" s="11"/>
    </row>
    <row r="17" spans="1:11" s="1" customFormat="1" x14ac:dyDescent="0.25">
      <c r="A17" s="4" t="s">
        <v>80</v>
      </c>
      <c r="B17" s="52">
        <v>201629</v>
      </c>
      <c r="C17" s="6"/>
      <c r="D17" s="5">
        <v>227445.81</v>
      </c>
      <c r="E17" s="4"/>
      <c r="F17" s="3">
        <f t="shared" si="1"/>
        <v>1.1280411547942013</v>
      </c>
      <c r="G17" s="4"/>
      <c r="H17" s="95">
        <v>222509.27</v>
      </c>
      <c r="I17" s="4"/>
      <c r="J17" s="3">
        <f t="shared" si="2"/>
        <v>1.0221857723051269</v>
      </c>
      <c r="K17" s="11"/>
    </row>
    <row r="18" spans="1:11" s="1" customFormat="1" x14ac:dyDescent="0.25">
      <c r="A18" s="4" t="s">
        <v>81</v>
      </c>
      <c r="B18" s="52">
        <v>192919</v>
      </c>
      <c r="C18" s="6"/>
      <c r="D18" s="5">
        <v>181891.73</v>
      </c>
      <c r="E18" s="4"/>
      <c r="F18" s="3">
        <f t="shared" si="1"/>
        <v>0.9428398965368886</v>
      </c>
      <c r="G18" s="4"/>
      <c r="H18" s="95">
        <v>193675.35</v>
      </c>
      <c r="I18" s="4"/>
      <c r="J18" s="3">
        <f t="shared" si="2"/>
        <v>0.93915787424677433</v>
      </c>
      <c r="K18" s="11"/>
    </row>
    <row r="19" spans="1:11" s="1" customFormat="1" x14ac:dyDescent="0.25">
      <c r="A19" s="4" t="s">
        <v>82</v>
      </c>
      <c r="B19" s="52">
        <v>139323</v>
      </c>
      <c r="C19" s="6"/>
      <c r="D19" s="5">
        <v>288564.26</v>
      </c>
      <c r="E19" s="4"/>
      <c r="F19" s="3">
        <f t="shared" si="1"/>
        <v>2.0711889637748255</v>
      </c>
      <c r="G19" s="4"/>
      <c r="H19" s="95">
        <v>280227.98</v>
      </c>
      <c r="I19" s="4"/>
      <c r="J19" s="3">
        <f t="shared" si="2"/>
        <v>1.0297482071561876</v>
      </c>
      <c r="K19" s="11"/>
    </row>
    <row r="20" spans="1:11" s="1" customFormat="1" x14ac:dyDescent="0.25">
      <c r="A20" s="4" t="s">
        <v>83</v>
      </c>
      <c r="B20" s="52">
        <v>26850</v>
      </c>
      <c r="C20" s="6"/>
      <c r="D20" s="5">
        <v>34488.19</v>
      </c>
      <c r="E20" s="4"/>
      <c r="F20" s="3">
        <f t="shared" si="1"/>
        <v>1.28447635009311</v>
      </c>
      <c r="G20" s="4"/>
      <c r="H20" s="95">
        <v>26096.34</v>
      </c>
      <c r="I20" s="4"/>
      <c r="J20" s="3">
        <f t="shared" si="2"/>
        <v>1.3215719139158979</v>
      </c>
      <c r="K20" s="11"/>
    </row>
    <row r="21" spans="1:11" s="1" customFormat="1" x14ac:dyDescent="0.25">
      <c r="A21" s="4" t="s">
        <v>88</v>
      </c>
      <c r="B21" s="52">
        <v>11815</v>
      </c>
      <c r="C21" s="6"/>
      <c r="D21" s="5">
        <v>4142.8</v>
      </c>
      <c r="E21" s="4"/>
      <c r="F21" s="3">
        <f t="shared" si="1"/>
        <v>0.35063901819720694</v>
      </c>
      <c r="G21" s="4"/>
      <c r="H21" s="95">
        <v>3729.6</v>
      </c>
      <c r="I21" s="4"/>
      <c r="J21" s="3">
        <v>0</v>
      </c>
      <c r="K21" s="11"/>
    </row>
    <row r="22" spans="1:11" s="1" customFormat="1" x14ac:dyDescent="0.25">
      <c r="A22" s="4" t="s">
        <v>84</v>
      </c>
      <c r="B22" s="52">
        <v>14175</v>
      </c>
      <c r="C22" s="6"/>
      <c r="D22" s="5">
        <v>11181.96</v>
      </c>
      <c r="E22" s="4"/>
      <c r="F22" s="3">
        <f t="shared" si="1"/>
        <v>0.78885079365079358</v>
      </c>
      <c r="G22" s="4"/>
      <c r="H22" s="95">
        <v>11697.61</v>
      </c>
      <c r="I22" s="4"/>
      <c r="J22" s="3">
        <f t="shared" si="2"/>
        <v>0.95591834571335499</v>
      </c>
      <c r="K22" s="11"/>
    </row>
    <row r="23" spans="1:11" s="1" customFormat="1" x14ac:dyDescent="0.25">
      <c r="A23" s="4" t="s">
        <v>85</v>
      </c>
      <c r="B23" s="52">
        <v>4000</v>
      </c>
      <c r="C23" s="6"/>
      <c r="D23" s="5">
        <v>2051.92</v>
      </c>
      <c r="E23" s="4"/>
      <c r="F23" s="3">
        <f t="shared" si="1"/>
        <v>0.51297999999999999</v>
      </c>
      <c r="G23" s="4"/>
      <c r="H23" s="95">
        <v>1830.28</v>
      </c>
      <c r="I23" s="4"/>
      <c r="J23" s="3">
        <f t="shared" si="2"/>
        <v>1.1210962257140984</v>
      </c>
      <c r="K23" s="11"/>
    </row>
    <row r="24" spans="1:11" s="1" customFormat="1" x14ac:dyDescent="0.25">
      <c r="A24" s="4" t="s">
        <v>86</v>
      </c>
      <c r="B24" s="52">
        <v>3000</v>
      </c>
      <c r="C24" s="6"/>
      <c r="D24" s="20">
        <v>2956.76</v>
      </c>
      <c r="E24" s="4"/>
      <c r="F24" s="3">
        <f t="shared" si="1"/>
        <v>0.98558666666666672</v>
      </c>
      <c r="G24" s="4"/>
      <c r="H24" s="95">
        <v>5890.93</v>
      </c>
      <c r="I24" s="4"/>
      <c r="J24" s="3">
        <f t="shared" si="2"/>
        <v>0.50191735430568685</v>
      </c>
      <c r="K24" s="11"/>
    </row>
    <row r="25" spans="1:11" s="1" customFormat="1" x14ac:dyDescent="0.25">
      <c r="A25" s="4" t="s">
        <v>87</v>
      </c>
      <c r="B25" s="52">
        <f>199300+100073</f>
        <v>299373</v>
      </c>
      <c r="C25" s="6"/>
      <c r="D25" s="5">
        <v>269927.90000000002</v>
      </c>
      <c r="E25" s="4"/>
      <c r="F25" s="3">
        <f t="shared" si="1"/>
        <v>0.90164410284160568</v>
      </c>
      <c r="G25" s="4"/>
      <c r="H25" s="95">
        <v>271168.46999999997</v>
      </c>
      <c r="I25" s="4"/>
      <c r="J25" s="3">
        <f t="shared" si="2"/>
        <v>0.99542509496033982</v>
      </c>
      <c r="K25" s="11"/>
    </row>
    <row r="26" spans="1:11" s="1" customFormat="1" x14ac:dyDescent="0.25">
      <c r="A26" s="4" t="s">
        <v>63</v>
      </c>
      <c r="B26" s="52">
        <v>42000</v>
      </c>
      <c r="C26" s="6"/>
      <c r="D26" s="5">
        <v>45476.4</v>
      </c>
      <c r="E26" s="4"/>
      <c r="F26" s="3">
        <f t="shared" si="1"/>
        <v>1.0827714285714285</v>
      </c>
      <c r="G26" s="4"/>
      <c r="H26" s="95">
        <v>38897.03</v>
      </c>
      <c r="I26" s="4"/>
      <c r="J26" s="3">
        <f t="shared" si="2"/>
        <v>1.1691483899927579</v>
      </c>
      <c r="K26" s="11"/>
    </row>
    <row r="27" spans="1:11" s="1" customFormat="1" x14ac:dyDescent="0.25">
      <c r="A27" s="4" t="s">
        <v>64</v>
      </c>
      <c r="B27" s="52">
        <v>1514880</v>
      </c>
      <c r="C27" s="6"/>
      <c r="D27" s="5">
        <v>1307054.3899999999</v>
      </c>
      <c r="E27" s="4"/>
      <c r="F27" s="3">
        <f t="shared" si="1"/>
        <v>0.86281051304393741</v>
      </c>
      <c r="G27" s="4"/>
      <c r="H27" s="95">
        <v>1489789.29</v>
      </c>
      <c r="I27" s="4"/>
      <c r="J27" s="3">
        <f t="shared" si="2"/>
        <v>0.87734178166900356</v>
      </c>
      <c r="K27" s="11"/>
    </row>
    <row r="28" spans="1:11" s="1" customFormat="1" ht="16.5" x14ac:dyDescent="0.35">
      <c r="A28" s="4" t="s">
        <v>89</v>
      </c>
      <c r="B28" s="53">
        <v>6603</v>
      </c>
      <c r="C28" s="6"/>
      <c r="D28" s="8">
        <v>9402.66</v>
      </c>
      <c r="E28" s="4"/>
      <c r="F28" s="3">
        <f t="shared" si="1"/>
        <v>1.4239981826442525</v>
      </c>
      <c r="G28" s="4"/>
      <c r="H28" s="96">
        <v>10326.23</v>
      </c>
      <c r="I28" s="4"/>
      <c r="J28" s="3">
        <f t="shared" si="2"/>
        <v>0.9105607758107267</v>
      </c>
      <c r="K28" s="11"/>
    </row>
    <row r="29" spans="1:11" s="1" customFormat="1" ht="2.25" customHeight="1" x14ac:dyDescent="0.25">
      <c r="A29" s="4" t="s">
        <v>284</v>
      </c>
      <c r="B29" s="27">
        <v>0</v>
      </c>
      <c r="C29" s="6"/>
      <c r="D29" s="33">
        <v>0</v>
      </c>
      <c r="E29" s="4"/>
      <c r="F29" s="3" t="e">
        <f t="shared" si="1"/>
        <v>#DIV/0!</v>
      </c>
      <c r="G29" s="4"/>
      <c r="H29" s="33">
        <v>0</v>
      </c>
      <c r="I29" s="4"/>
      <c r="J29" s="3" t="e">
        <f t="shared" si="2"/>
        <v>#DIV/0!</v>
      </c>
      <c r="K29" s="11"/>
    </row>
    <row r="30" spans="1:11" s="1" customFormat="1" ht="16.5" x14ac:dyDescent="0.35">
      <c r="A30" s="56" t="s">
        <v>55</v>
      </c>
      <c r="B30" s="26">
        <f>SUM(B16:B29)</f>
        <v>3024121</v>
      </c>
      <c r="C30" s="6"/>
      <c r="D30" s="8">
        <f>SUM(D16:D29)</f>
        <v>2928318.2199999997</v>
      </c>
      <c r="E30" s="4"/>
      <c r="F30" s="3">
        <f t="shared" si="1"/>
        <v>0.96832045410881373</v>
      </c>
      <c r="G30" s="4"/>
      <c r="H30" s="8">
        <f>SUM(H16:H29)</f>
        <v>3105729.47</v>
      </c>
      <c r="I30" s="4"/>
      <c r="J30" s="3">
        <f t="shared" si="2"/>
        <v>0.94287614175229484</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3">+D34/B34</f>
        <v>#DIV/0!</v>
      </c>
      <c r="G34" s="4"/>
      <c r="H34" s="33">
        <v>0</v>
      </c>
      <c r="I34" s="4"/>
      <c r="J34" s="3" t="e">
        <f t="shared" ref="J34" si="4">+D34/H34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-576221</v>
      </c>
      <c r="C37" s="6"/>
      <c r="D37" s="9">
        <f>+D13-D30+D35</f>
        <v>-964178.70999999973</v>
      </c>
      <c r="E37" s="4"/>
      <c r="F37" s="4"/>
      <c r="G37" s="4"/>
      <c r="H37" s="9">
        <f>+H13-H30+H35</f>
        <v>-835421.81</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2024-06-05T15:17:38Z</cp:lastPrinted>
  <dcterms:created xsi:type="dcterms:W3CDTF">2009-11-06T16:21:47Z</dcterms:created>
  <dcterms:modified xsi:type="dcterms:W3CDTF">2024-11-15T22:22:49Z</dcterms:modified>
</cp:coreProperties>
</file>