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8D41F992-48B1-4899-962B-246010EF6670}" xr6:coauthVersionLast="47" xr6:coauthVersionMax="47" xr10:uidLastSave="{00000000-0000-0000-0000-000000000000}"/>
  <bookViews>
    <workbookView xWindow="-120" yWindow="-120" windowWidth="29040" windowHeight="15840" firstSheet="7" activeTab="8"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4"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24" l="1"/>
  <c r="H38" i="11"/>
  <c r="D38" i="11"/>
  <c r="H10" i="24" l="1"/>
  <c r="H12" i="24"/>
  <c r="H13" i="24"/>
  <c r="H15" i="24"/>
  <c r="B18" i="24"/>
  <c r="H18" i="24"/>
  <c r="B19" i="24"/>
  <c r="H19" i="24" s="1"/>
  <c r="H20" i="24"/>
  <c r="H22" i="24"/>
  <c r="H25" i="24"/>
  <c r="H26" i="24"/>
  <c r="H27" i="24"/>
  <c r="H28" i="24"/>
  <c r="B30" i="24"/>
  <c r="H30" i="24"/>
  <c r="H31" i="24"/>
  <c r="H33" i="24"/>
  <c r="H34" i="24"/>
  <c r="H35" i="24"/>
  <c r="B36" i="24"/>
  <c r="B55" i="24" s="1"/>
  <c r="D36" i="24"/>
  <c r="F36" i="24"/>
  <c r="H39" i="24"/>
  <c r="H40" i="24"/>
  <c r="H41" i="24"/>
  <c r="H42" i="24"/>
  <c r="H43" i="24"/>
  <c r="H44" i="24"/>
  <c r="H45" i="24"/>
  <c r="H46" i="24"/>
  <c r="H47" i="24"/>
  <c r="B48" i="24"/>
  <c r="D48" i="24"/>
  <c r="F48" i="24"/>
  <c r="H51" i="24"/>
  <c r="H52" i="24"/>
  <c r="B53" i="24"/>
  <c r="D53" i="24"/>
  <c r="F53" i="24"/>
  <c r="H53" i="24"/>
  <c r="F55" i="24" l="1"/>
  <c r="H48" i="24"/>
  <c r="H36" i="24"/>
  <c r="D55" i="24"/>
  <c r="J28" i="6"/>
  <c r="H28" i="2"/>
  <c r="H55" i="24" l="1"/>
  <c r="J41" i="9"/>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24" i="23"/>
  <c r="B19" i="6" l="1"/>
  <c r="B18" i="6"/>
  <c r="B25" i="10"/>
  <c r="B55" i="1" l="1"/>
  <c r="D55" i="1"/>
  <c r="B53" i="1"/>
  <c r="B54" i="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A3" i="13" l="1"/>
  <c r="A3" i="2"/>
  <c r="A3" i="12"/>
  <c r="A3" i="23" l="1"/>
  <c r="A3" i="24"/>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50" i="2" s="1"/>
  <c r="J35" i="8" l="1"/>
  <c r="J32" i="7"/>
  <c r="J53" i="6"/>
  <c r="J31" i="6"/>
  <c r="H17" i="2" l="1"/>
  <c r="J17" i="2" s="1"/>
  <c r="H19" i="2"/>
  <c r="J19" i="2" s="1"/>
  <c r="H20" i="2"/>
  <c r="J20" i="2" s="1"/>
  <c r="B21" i="2"/>
  <c r="F21" i="2" s="1"/>
  <c r="H21" i="2"/>
  <c r="H23" i="2"/>
  <c r="J23" i="2" s="1"/>
  <c r="B24" i="2"/>
  <c r="D24" i="2"/>
  <c r="H24" i="2"/>
  <c r="B26" i="2"/>
  <c r="F26" i="2" s="1"/>
  <c r="H26" i="2"/>
  <c r="J26" i="2" s="1"/>
  <c r="H27" i="2"/>
  <c r="J27" i="2" s="1"/>
  <c r="J28" i="2"/>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H56" i="9" s="1"/>
  <c r="D36" i="9"/>
  <c r="D56" i="9" s="1"/>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H56" i="8" l="1"/>
  <c r="J49" i="9"/>
  <c r="J36" i="9"/>
  <c r="D56" i="8"/>
  <c r="F13" i="10"/>
  <c r="F49" i="9"/>
  <c r="F36" i="9"/>
  <c r="J36" i="7"/>
  <c r="J13" i="10"/>
  <c r="J49" i="8"/>
  <c r="F34" i="11"/>
  <c r="J34" i="11"/>
  <c r="F36" i="8"/>
  <c r="B56" i="8"/>
  <c r="F36" i="6"/>
  <c r="B50" i="2"/>
  <c r="F50" i="2" s="1"/>
  <c r="H52" i="2"/>
  <c r="F49" i="8"/>
  <c r="D31" i="2"/>
  <c r="D37" i="10"/>
  <c r="B31" i="2"/>
  <c r="B38" i="2" s="1"/>
  <c r="B37" i="10"/>
  <c r="H37" i="10"/>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0" i="1" s="1"/>
  <c r="B81" i="1" l="1"/>
  <c r="D60" i="1"/>
  <c r="D62" i="1" s="1"/>
  <c r="D68" i="1" s="1"/>
  <c r="D80" i="1" l="1"/>
  <c r="D81" i="1" s="1"/>
  <c r="D82" i="1" s="1"/>
  <c r="B82" i="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<sst xmlns="http://schemas.openxmlformats.org/spreadsheetml/2006/main" count="883" uniqueCount="404">
  <si>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</si>
  <si>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</si>
  <si>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</si>
  <si>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</si>
  <si>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</si>
  <si>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</si>
  <si>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</si>
  <si>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</si>
  <si>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</si>
  <si>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</si>
  <si>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</si>
  <si>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</si>
  <si>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</si>
  <si>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</si>
  <si>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</si>
  <si>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</si>
  <si>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</si>
  <si>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</si>
  <si>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</si>
  <si>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</si>
  <si>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</si>
  <si>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</si>
  <si>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</si>
  <si>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</si>
  <si>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</si>
  <si>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</si>
  <si>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</si>
  <si>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</si>
  <si>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</si>
  <si>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</si>
  <si>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</si>
  <si>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</si>
  <si>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</si>
  <si>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</si>
  <si>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</si>
  <si>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</si>
  <si>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</si>
  <si>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</si>
  <si>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</si>
  <si>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</si>
  <si>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</si>
  <si>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</si>
  <si>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</si>
  <si>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</si>
  <si>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</si>
  <si>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</si>
  <si>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</si>
  <si>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</si>
  <si>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</si>
  <si>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</si>
  <si>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</si>
  <si>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</si>
  <si>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</si>
  <si>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</si>
  <si>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</si>
  <si>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</si>
  <si>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</si>
  <si>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</si>
  <si>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</si>
  <si>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</si>
  <si>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</si>
  <si>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</si>
  <si>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</si>
  <si>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</si>
  <si>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</si>
  <si>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</si>
  <si>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</si>
  <si>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</si>
  <si>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</si>
  <si>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</si>
  <si>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</si>
  <si>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</si>
  <si>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</si>
  <si>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</si>
  <si>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</si>
  <si>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</si>
  <si>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</si>
  <si>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</si>
  <si>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</si>
  <si>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</si>
  <si>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</si>
  <si>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</si>
  <si>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</si>
  <si>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</si>
  <si>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</si>
  <si>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</si>
  <si>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</si>
  <si>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</si>
  <si>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</si>
  <si>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</si>
  <si>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</si>
  <si>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</si>
  <si>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</si>
  <si>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</si>
  <si>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</si>
  <si>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</si>
  <si>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</si>
  <si>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</si>
  <si>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</si>
  <si>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</si>
  <si>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</si>
  <si>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</si>
  <si>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</si>
  <si>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</si>
  <si>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</si>
  <si>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</si>
  <si>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</si>
  <si>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</si>
  <si>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</si>
  <si>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</si>
  <si>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</si>
  <si>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</si>
  <si>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</si>
  <si>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</si>
  <si>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</si>
  <si>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</si>
  <si>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</si>
  <si>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</si>
  <si>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</si>
  <si>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</si>
  <si>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</si>
  <si>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</si>
  <si>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</si>
  <si>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</si>
  <si>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</si>
  <si>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</si>
  <si>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</si>
  <si>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</si>
  <si>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</si>
  <si>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</si>
  <si>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</si>
  <si>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</si>
  <si>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</si>
  <si>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</si>
  <si>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</si>
  <si>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</si>
  <si>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</si>
  <si>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</si>
  <si>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</si>
  <si>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</si>
  <si>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</si>
  <si>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</si>
  <si>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</si>
  <si>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</si>
  <si>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</si>
  <si>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</si>
  <si>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</si>
  <si>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</si>
  <si>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</si>
  <si>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</si>
  <si>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</si>
  <si>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</si>
  <si>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</si>
  <si>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</si>
  <si>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</si>
  <si>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</si>
  <si>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</si>
  <si>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</si>
  <si>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</si>
  <si>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</si>
  <si>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</si>
  <si>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</si>
  <si>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</si>
  <si>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</si>
  <si>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</si>
  <si>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</si>
  <si>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</si>
  <si>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</si>
  <si>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</si>
  <si>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</si>
  <si>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</si>
  <si>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</si>
  <si>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</si>
  <si>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</si>
  <si>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</si>
  <si>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</si>
  <si>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</si>
  <si>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</si>
  <si>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</si>
  <si>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</si>
  <si>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</si>
  <si>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</si>
  <si>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</si>
  <si>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</si>
  <si>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</si>
  <si>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</si>
  <si>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</si>
  <si>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</si>
  <si>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</si>
  <si>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</si>
  <si>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</si>
  <si>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</si>
  <si>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</si>
  <si>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</si>
  <si>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</si>
  <si>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</si>
  <si>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</si>
  <si>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</si>
  <si>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</si>
  <si>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</si>
  <si>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</si>
  <si>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</si>
  <si>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</si>
  <si>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</si>
  <si>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</si>
  <si>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</si>
  <si>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</si>
  <si>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</si>
  <si>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</si>
  <si>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</si>
  <si>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</si>
  <si>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</si>
  <si>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</si>
  <si>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</si>
  <si>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</si>
  <si>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</si>
  <si>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</si>
  <si>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</si>
  <si>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</si>
  <si>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</si>
  <si>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</si>
  <si>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</si>
  <si>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</si>
  <si>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</si>
  <si>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</si>
  <si>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</si>
  <si>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</si>
  <si>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</si>
  <si>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</si>
  <si>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</si>
  <si>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</si>
  <si>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</si>
  <si>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</si>
  <si>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</si>
  <si>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</si>
  <si>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</si>
  <si>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</si>
  <si>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</si>
  <si>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</si>
  <si>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</si>
  <si>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</si>
  <si>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</si>
  <si>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</si>
  <si>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</si>
  <si>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</si>
  <si>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</si>
  <si>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</si>
  <si>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</si>
  <si>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</si>
  <si>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</si>
  <si>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</si>
  <si>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</si>
  <si>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</si>
  <si>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</si>
  <si>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</si>
  <si>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</si>
  <si>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</si>
  <si>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</si>
  <si>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</si>
  <si>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</si>
  <si>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</si>
  <si>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</si>
  <si>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</si>
  <si>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</si>
  <si>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</si>
  <si>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</si>
  <si>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</si>
  <si>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</si>
  <si>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</si>
  <si>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</si>
  <si>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</si>
  <si>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</si>
  <si>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</si>
  <si>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</si>
  <si>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</si>
  <si>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</si>
  <si>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</si>
  <si>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</si>
  <si>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</si>
  <si>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</si>
  <si>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</si>
  <si>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</si>
  <si>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</si>
  <si>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</si>
  <si>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</si>
  <si>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</si>
  <si>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</si>
  <si>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</si>
  <si>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</si>
  <si>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</si>
  <si>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</si>
  <si>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</si>
  <si>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</si>
  <si>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</si>
  <si>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</si>
  <si>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</si>
  <si>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</si>
  <si>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</si>
  <si>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</si>
  <si>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</si>
  <si>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</si>
  <si>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</si>
  <si>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</si>
  <si>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</si>
  <si>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</si>
  <si>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</si>
  <si>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</si>
  <si>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</si>
  <si>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</si>
  <si>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</si>
  <si>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</si>
  <si>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</si>
  <si>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</si>
  <si>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</si>
  <si>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</si>
  <si>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</si>
  <si>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</si>
  <si>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</si>
  <si>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</si>
  <si>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</si>
  <si>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</si>
  <si>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</si>
  <si>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</si>
  <si>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</si>
  <si>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</si>
  <si>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</si>
  <si>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</si>
  <si>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</si>
  <si>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</si>
  <si>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</si>
  <si>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</si>
  <si>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</si>
  <si>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</si>
  <si>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</si>
  <si>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</si>
  <si>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</si>
  <si>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</si>
  <si>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</si>
  <si>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</si>
  <si>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</si>
  <si>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</si>
  <si>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</si>
  <si>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</si>
  <si>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</si>
  <si>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</si>
  <si>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</si>
  <si>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</si>
  <si>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</si>
  <si>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</si>
  <si>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</si>
  <si>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</si>
  <si>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</si>
  <si>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</si>
  <si>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</si>
  <si>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</si>
  <si>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</si>
  <si>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</si>
  <si>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</si>
  <si>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</si>
  <si>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</si>
  <si>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</si>
  <si>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</si>
  <si>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</si>
  <si>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</si>
  <si>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</si>
  <si>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</si>
  <si>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</si>
  <si>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</si>
  <si>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</si>
  <si>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</si>
  <si>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</si>
  <si>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</si>
  <si>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</si>
  <si>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</si>
  <si>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</si>
  <si>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</si>
  <si>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</si>
  <si>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</si>
  <si>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</si>
  <si>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</si>
  <si>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</si>
  <si>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</si>
  <si>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</si>
  <si>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</si>
  <si>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</si>
  <si>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</si>
  <si>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</si>
  <si>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</si>
  <si>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</si>
  <si>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</si>
  <si>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</si>
  <si>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</si>
  <si>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</si>
  <si>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</si>
  <si>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</si>
  <si>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</si>
  <si>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</si>
  <si>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</si>
  <si>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</si>
  <si>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</si>
  <si>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</si>
  <si>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</si>
  <si>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</si>
  <si>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July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</si>
</sst>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7" applyFont="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35" zoomScaleNormal="100" workbookViewId="0">
      <selection activeCell="G71" sqref="G71"/>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-344038.11</v>
      </c>
      <c r="C8" s="5"/>
      <c r="D8" s="7">
        <v>-262769.17</v>
      </c>
      <c r="E8" s="16" t="s">
        <v>95</v>
      </c>
      <c r="F8" s="45"/>
    </row>
    <row r="9" spans="1:7" x14ac:dyDescent="0.25">
      <c r="A9" s="10" t="s">
        <v>3</v>
      </c>
      <c r="B9" s="5">
        <v>700486.51</v>
      </c>
      <c r="C9" s="5"/>
      <c r="D9" s="5">
        <v>2096680.68</v>
      </c>
      <c r="E9" s="16" t="s">
        <v>96</v>
      </c>
      <c r="F9" s="45"/>
    </row>
    <row r="10" spans="1:7" x14ac:dyDescent="0.25">
      <c r="A10" s="10" t="s">
        <v>4</v>
      </c>
      <c r="B10" s="5">
        <v>31256175.960000001</v>
      </c>
      <c r="C10" s="5"/>
      <c r="D10" s="5">
        <v>24972593.079999998</v>
      </c>
      <c r="E10" s="16" t="s">
        <v>97</v>
      </c>
      <c r="F10" s="46"/>
    </row>
    <row r="11" spans="1:7" x14ac:dyDescent="0.25">
      <c r="A11" s="10" t="s">
        <v>5</v>
      </c>
      <c r="B11" s="5">
        <v>2326.27</v>
      </c>
      <c r="C11" s="5"/>
      <c r="D11" s="5">
        <v>112.03</v>
      </c>
      <c r="E11" s="16" t="s">
        <v>97</v>
      </c>
      <c r="F11" s="46"/>
      <c r="G11" s="14"/>
    </row>
    <row r="12" spans="1:7" x14ac:dyDescent="0.25">
      <c r="A12" s="10" t="s">
        <v>6</v>
      </c>
      <c r="B12" s="5">
        <v>5465397.0499999998</v>
      </c>
      <c r="C12" s="5"/>
      <c r="D12" s="5">
        <v>4199518.78</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37433349.310000002</v>
      </c>
      <c r="C16" s="5"/>
      <c r="D16" s="8">
        <f>SUM(D8:D15)</f>
        <v>31420387.110000003</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103912374.67</v>
      </c>
      <c r="C28" s="5"/>
      <c r="D28" s="8">
        <f>+D16+D22+D26</f>
        <v>95662573.109999999</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577078.24</v>
      </c>
      <c r="C32" s="5"/>
      <c r="D32" s="5">
        <v>534481.67000000004</v>
      </c>
      <c r="E32" s="16" t="s">
        <v>109</v>
      </c>
    </row>
    <row r="33" spans="1:5" x14ac:dyDescent="0.25">
      <c r="A33" s="10" t="s">
        <v>17</v>
      </c>
      <c r="B33" s="5">
        <v>360031.87</v>
      </c>
      <c r="C33" s="5"/>
      <c r="D33" s="5">
        <v>378142.87</v>
      </c>
      <c r="E33" s="16" t="s">
        <v>193</v>
      </c>
    </row>
    <row r="34" spans="1:5" x14ac:dyDescent="0.25">
      <c r="A34" s="10" t="s">
        <v>18</v>
      </c>
      <c r="B34" s="5">
        <v>264411.38</v>
      </c>
      <c r="C34" s="5"/>
      <c r="D34" s="5">
        <v>227621.65</v>
      </c>
      <c r="E34" s="56" t="s">
        <v>260</v>
      </c>
    </row>
    <row r="35" spans="1:5" ht="16.5" x14ac:dyDescent="0.35">
      <c r="A35" s="10" t="s">
        <v>19</v>
      </c>
      <c r="B35" s="8">
        <v>3256009.55</v>
      </c>
      <c r="C35" s="5"/>
      <c r="D35" s="8">
        <v>3253591.24</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4457531.04</v>
      </c>
      <c r="C41" s="5"/>
      <c r="D41" s="8">
        <f>SUM(D32:D35)</f>
        <v>4393837.43</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61708920.049999997</v>
      </c>
      <c r="C62" s="5"/>
      <c r="D62" s="8">
        <f>+D41+D60</f>
        <v>55305158.43</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75000510.049999997</v>
      </c>
      <c r="C68" s="5"/>
      <c r="D68" s="8">
        <f>+D62+D66</f>
        <v>65509296.43</v>
      </c>
    </row>
    <row r="69" spans="1:8" ht="7.5" customHeight="1" x14ac:dyDescent="0.25">
      <c r="B69" s="5"/>
      <c r="C69" s="5"/>
      <c r="D69" s="5"/>
    </row>
    <row r="70" spans="1:8" x14ac:dyDescent="0.25">
      <c r="A70" s="29" t="s">
        <v>282</v>
      </c>
      <c r="B70" s="5"/>
      <c r="C70" s="5"/>
      <c r="D70" s="5"/>
    </row>
    <row r="71" spans="1:8" x14ac:dyDescent="0.25">
      <c r="A71" s="4" t="s">
        <v>29</v>
      </c>
      <c r="B71" s="5">
        <v>23025308.84</v>
      </c>
      <c r="C71" s="5"/>
      <c r="D71" s="5">
        <v>23974973.77</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5886555.7799999909</v>
      </c>
      <c r="C75" s="5"/>
      <c r="D75" s="8">
        <f>'Revenues, Expenditures, Changes'!H59</f>
        <v>6178302.9099999927</v>
      </c>
    </row>
    <row r="76" spans="1:8" ht="7.5" customHeight="1" x14ac:dyDescent="0.35">
      <c r="B76" s="8"/>
      <c r="C76" s="5"/>
      <c r="D76" s="8"/>
    </row>
    <row r="77" spans="1:8" ht="16.5" x14ac:dyDescent="0.35">
      <c r="A77" s="4" t="s">
        <v>283</v>
      </c>
      <c r="B77" s="9">
        <f>SUM(B71:B76)</f>
        <v>28911864.61999999</v>
      </c>
      <c r="C77" s="5"/>
      <c r="D77" s="9">
        <f>SUM(D71:D76)</f>
        <v>30153276.679999992</v>
      </c>
      <c r="F77" s="46"/>
      <c r="G77" s="14"/>
      <c r="H77" s="15"/>
    </row>
    <row r="78" spans="1:8" x14ac:dyDescent="0.25">
      <c r="B78" s="5"/>
      <c r="C78" s="5"/>
      <c r="D78" s="5"/>
      <c r="H78" s="15"/>
    </row>
    <row r="79" spans="1:8" x14ac:dyDescent="0.25">
      <c r="B79" s="5"/>
      <c r="C79" s="5"/>
      <c r="D79" s="5"/>
    </row>
    <row r="80" spans="1:8" x14ac:dyDescent="0.25">
      <c r="A80" s="92" t="s">
        <v>359</v>
      </c>
      <c r="B80" s="5">
        <f>+B28-B68</f>
        <v>28911864.620000005</v>
      </c>
      <c r="C80" s="5"/>
      <c r="D80" s="5">
        <f>+D28-D68</f>
        <v>30153276.68</v>
      </c>
    </row>
    <row r="81" spans="1:4" ht="16.5" x14ac:dyDescent="0.35">
      <c r="A81" s="92" t="s">
        <v>360</v>
      </c>
      <c r="B81" s="83">
        <f>+B77-B80</f>
        <v>0</v>
      </c>
      <c r="C81" s="83"/>
      <c r="D81" s="83">
        <f>+D77-D80</f>
        <v>0</v>
      </c>
    </row>
    <row r="82" spans="1:4" ht="16.5" x14ac:dyDescent="0.35">
      <c r="B82" s="62">
        <f>SUM(B80:B81)</f>
        <v>28911864.620000005</v>
      </c>
      <c r="C82" s="62"/>
      <c r="D82" s="62">
        <f>SUM(D80:D81)</f>
        <v>30153276.68</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H26" sqref="H26"/>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July 31,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45107</v>
      </c>
      <c r="K7" s="11"/>
      <c r="L7" s="11"/>
    </row>
    <row r="8" spans="1:12" s="1" customFormat="1" x14ac:dyDescent="0.25">
      <c r="A8" s="4"/>
      <c r="B8" s="22" t="s">
        <v>33</v>
      </c>
      <c r="C8" s="56"/>
      <c r="D8" s="28" t="s">
        <v>35</v>
      </c>
      <c r="E8" s="87"/>
      <c r="F8" s="22" t="s">
        <v>33</v>
      </c>
      <c r="G8" s="87"/>
      <c r="H8" s="37">
        <f>+'Revenues, Expenditures, Changes'!H9</f>
        <v>45107</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2906267.07</v>
      </c>
      <c r="E13" s="4"/>
      <c r="F13" s="3">
        <f>+D13/B13</f>
        <v>1.0198287118915277</v>
      </c>
      <c r="G13" s="4"/>
      <c r="H13" s="7">
        <v>2667752.54</v>
      </c>
      <c r="I13" s="4"/>
      <c r="J13" s="3">
        <f>+D13/H13</f>
        <v>1.0894065421825068</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114.34</v>
      </c>
      <c r="E26" s="35"/>
      <c r="F26" s="3">
        <v>0</v>
      </c>
      <c r="G26" s="35"/>
      <c r="H26" s="5">
        <v>4.41</v>
      </c>
      <c r="I26" s="4"/>
      <c r="J26" s="3">
        <f t="shared" si="1"/>
        <v>25.927437641723355</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5">
        <v>0</v>
      </c>
      <c r="C28" s="6"/>
      <c r="D28" s="8">
        <v>556.83000000000004</v>
      </c>
      <c r="E28" s="4"/>
      <c r="F28" s="3">
        <v>0</v>
      </c>
      <c r="G28" s="4"/>
      <c r="H28" s="126">
        <v>0</v>
      </c>
      <c r="I28" s="4"/>
      <c r="J28" s="127">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2906938.2399999998</v>
      </c>
      <c r="E34" s="4"/>
      <c r="F34" s="3">
        <f>+D34/B34</f>
        <v>1.0200642299702429</v>
      </c>
      <c r="G34" s="4"/>
      <c r="H34" s="8">
        <f>SUM(H10:H33)</f>
        <v>2667756.9500000002</v>
      </c>
      <c r="I34" s="4"/>
      <c r="J34" s="3">
        <f t="shared" si="2"/>
        <v>1.0896563272002719</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c r="E37" s="4"/>
      <c r="F37" s="3">
        <f>+D37/B37</f>
        <v>0</v>
      </c>
      <c r="G37" s="4"/>
      <c r="H37" s="5">
        <v>0</v>
      </c>
      <c r="I37" s="4"/>
      <c r="J37" s="3">
        <v>0</v>
      </c>
      <c r="K37" s="11"/>
      <c r="L37" s="11"/>
    </row>
    <row r="38" spans="1:12" s="1" customFormat="1" ht="16.5" x14ac:dyDescent="0.35">
      <c r="A38" s="4" t="s">
        <v>78</v>
      </c>
      <c r="B38" s="26">
        <v>909760</v>
      </c>
      <c r="C38" s="6"/>
      <c r="D38" s="8">
        <f>56787.5+186706.25+206582.15</f>
        <v>450075.9</v>
      </c>
      <c r="E38" s="4"/>
      <c r="F38" s="3">
        <f>+D38/B38</f>
        <v>0.49471937653886744</v>
      </c>
      <c r="G38" s="4"/>
      <c r="H38" s="8">
        <f>74462.5+210331.25</f>
        <v>284793.75</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450075.9</v>
      </c>
      <c r="E40" s="4"/>
      <c r="F40" s="3">
        <f>+D40/B40</f>
        <v>0.14757748150674152</v>
      </c>
      <c r="G40" s="4"/>
      <c r="H40" s="8">
        <f>SUM(H37:H39)</f>
        <v>284793.75</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2456862.34</v>
      </c>
      <c r="E47" s="4"/>
      <c r="F47" s="3"/>
      <c r="G47" s="4"/>
      <c r="H47" s="89">
        <f>+H34-H40+H45</f>
        <v>2382963.2000000002</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049B-46DA-45AA-B288-ABD8D6EDB675}">
  <sheetPr>
    <tabColor rgb="FF92D050"/>
  </sheetPr>
  <dimension ref="A1:J68"/>
  <sheetViews>
    <sheetView topLeftCell="A20" zoomScaleNormal="100" workbookViewId="0">
      <selection activeCell="J40" sqref="J40"/>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July 31,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6"/>
      <c r="C6" s="128"/>
      <c r="D6" s="116" t="s">
        <v>218</v>
      </c>
      <c r="E6" s="116"/>
      <c r="F6" s="116" t="s">
        <v>258</v>
      </c>
      <c r="G6" s="128"/>
      <c r="H6" s="116"/>
      <c r="I6" s="128"/>
      <c r="J6" s="102"/>
    </row>
    <row r="7" spans="1:10" s="106" customFormat="1" x14ac:dyDescent="0.25">
      <c r="A7" s="102"/>
      <c r="B7" s="116" t="s">
        <v>90</v>
      </c>
      <c r="C7" s="128"/>
      <c r="D7" s="116" t="s">
        <v>33</v>
      </c>
      <c r="E7" s="116"/>
      <c r="F7" s="116" t="s">
        <v>33</v>
      </c>
      <c r="G7" s="128"/>
      <c r="H7" s="116" t="s">
        <v>32</v>
      </c>
      <c r="I7" s="128"/>
      <c r="J7" s="102"/>
    </row>
    <row r="8" spans="1:10" s="106" customFormat="1" x14ac:dyDescent="0.25">
      <c r="A8" s="102"/>
      <c r="B8" s="115" t="s">
        <v>33</v>
      </c>
      <c r="C8" s="128"/>
      <c r="D8" s="117" t="s">
        <v>219</v>
      </c>
      <c r="E8" s="116"/>
      <c r="F8" s="115" t="s">
        <v>219</v>
      </c>
      <c r="G8" s="128"/>
      <c r="H8" s="115" t="s">
        <v>33</v>
      </c>
      <c r="I8" s="128"/>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4"/>
      <c r="C11" s="103"/>
      <c r="D11" s="103"/>
      <c r="E11" s="103"/>
      <c r="F11" s="103"/>
      <c r="G11" s="102"/>
      <c r="H11" s="103"/>
      <c r="I11" s="102"/>
      <c r="J11" s="102"/>
    </row>
    <row r="12" spans="1:10" s="106" customFormat="1" x14ac:dyDescent="0.25">
      <c r="A12" s="113" t="s">
        <v>93</v>
      </c>
      <c r="B12" s="103">
        <v>0</v>
      </c>
      <c r="C12" s="103"/>
      <c r="D12" s="103">
        <v>133855</v>
      </c>
      <c r="E12" s="103"/>
      <c r="F12" s="103">
        <v>1472404</v>
      </c>
      <c r="G12" s="102"/>
      <c r="H12" s="103">
        <f>+B12+F12</f>
        <v>1472404</v>
      </c>
      <c r="I12" s="102"/>
      <c r="J12" s="102"/>
    </row>
    <row r="13" spans="1:10" s="106" customFormat="1" x14ac:dyDescent="0.25">
      <c r="A13" s="113" t="s">
        <v>94</v>
      </c>
      <c r="B13" s="103">
        <v>0</v>
      </c>
      <c r="C13" s="103"/>
      <c r="D13" s="103">
        <v>59231</v>
      </c>
      <c r="E13" s="103"/>
      <c r="F13" s="103">
        <v>577665</v>
      </c>
      <c r="G13" s="102"/>
      <c r="H13" s="103">
        <f>+B13+F13</f>
        <v>577665</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3" t="s">
        <v>49</v>
      </c>
      <c r="B15" s="103">
        <v>13741594</v>
      </c>
      <c r="C15" s="103"/>
      <c r="D15" s="103">
        <v>0</v>
      </c>
      <c r="E15" s="103"/>
      <c r="F15" s="103">
        <v>0</v>
      </c>
      <c r="G15" s="102"/>
      <c r="H15" s="103">
        <f>+B15+F15</f>
        <v>13741594</v>
      </c>
      <c r="I15" s="102"/>
      <c r="J15" s="102"/>
    </row>
    <row r="16" spans="1:10" s="106" customFormat="1" hidden="1" x14ac:dyDescent="0.25">
      <c r="A16" s="113"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3" t="s">
        <v>42</v>
      </c>
      <c r="B18" s="103">
        <f>1599976+126720+1196059+161568+69172+1122622</f>
        <v>4276117</v>
      </c>
      <c r="C18" s="103"/>
      <c r="D18" s="103">
        <v>0</v>
      </c>
      <c r="E18" s="103"/>
      <c r="F18" s="103">
        <v>0</v>
      </c>
      <c r="G18" s="102"/>
      <c r="H18" s="103">
        <f>+B18+F18</f>
        <v>4276117</v>
      </c>
      <c r="I18" s="102"/>
      <c r="J18" s="102"/>
    </row>
    <row r="19" spans="1:10" s="106" customFormat="1" x14ac:dyDescent="0.25">
      <c r="A19" s="113" t="s">
        <v>43</v>
      </c>
      <c r="B19" s="103">
        <f>515915+196345+215000+35000+122400+496200+10955</f>
        <v>1591815</v>
      </c>
      <c r="C19" s="103"/>
      <c r="D19" s="103">
        <v>0</v>
      </c>
      <c r="E19" s="103"/>
      <c r="F19" s="103">
        <v>0</v>
      </c>
      <c r="G19" s="102"/>
      <c r="H19" s="103">
        <f>+B19+F19</f>
        <v>1591815</v>
      </c>
      <c r="I19" s="102"/>
      <c r="J19" s="102"/>
    </row>
    <row r="20" spans="1:10" s="106" customFormat="1" x14ac:dyDescent="0.25">
      <c r="A20" s="113"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3" t="s">
        <v>42</v>
      </c>
      <c r="B22" s="103">
        <v>4985352</v>
      </c>
      <c r="C22" s="103"/>
      <c r="D22" s="103">
        <v>0</v>
      </c>
      <c r="E22" s="103"/>
      <c r="F22" s="103">
        <v>0</v>
      </c>
      <c r="G22" s="102"/>
      <c r="H22" s="103">
        <f>+B22+F22</f>
        <v>4985352</v>
      </c>
      <c r="I22" s="102"/>
      <c r="J22" s="102"/>
    </row>
    <row r="23" spans="1:10" s="106" customFormat="1" hidden="1" x14ac:dyDescent="0.25">
      <c r="A23" s="113"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3" t="s">
        <v>42</v>
      </c>
      <c r="B25" s="103">
        <v>-300000</v>
      </c>
      <c r="C25" s="103"/>
      <c r="D25" s="103">
        <v>0</v>
      </c>
      <c r="E25" s="103"/>
      <c r="F25" s="103">
        <v>0</v>
      </c>
      <c r="G25" s="102"/>
      <c r="H25" s="103">
        <f>+B25+F25</f>
        <v>-300000</v>
      </c>
      <c r="I25" s="102"/>
      <c r="J25" s="102"/>
    </row>
    <row r="26" spans="1:10" s="106" customFormat="1" hidden="1" x14ac:dyDescent="0.25">
      <c r="A26" s="113"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3" t="s">
        <v>53</v>
      </c>
      <c r="B33" s="103">
        <v>0</v>
      </c>
      <c r="C33" s="103"/>
      <c r="D33" s="103">
        <v>0</v>
      </c>
      <c r="E33" s="103"/>
      <c r="F33" s="103">
        <v>0</v>
      </c>
      <c r="G33" s="102"/>
      <c r="H33" s="103">
        <f>+B33+F33</f>
        <v>0</v>
      </c>
      <c r="I33" s="102"/>
      <c r="J33" s="102"/>
    </row>
    <row r="34" spans="1:10" s="106" customFormat="1" hidden="1" x14ac:dyDescent="0.25">
      <c r="A34" s="113" t="s">
        <v>52</v>
      </c>
      <c r="B34" s="103">
        <v>0</v>
      </c>
      <c r="C34" s="103"/>
      <c r="D34" s="103">
        <v>0</v>
      </c>
      <c r="E34" s="103"/>
      <c r="F34" s="103">
        <v>0</v>
      </c>
      <c r="G34" s="102"/>
      <c r="H34" s="103">
        <f>+B34+F34</f>
        <v>0</v>
      </c>
      <c r="I34" s="102"/>
      <c r="J34" s="102"/>
    </row>
    <row r="35" spans="1:10" s="106" customFormat="1" ht="16.5" x14ac:dyDescent="0.35">
      <c r="A35" s="113" t="s">
        <v>54</v>
      </c>
      <c r="B35" s="112">
        <v>99663</v>
      </c>
      <c r="C35" s="103"/>
      <c r="D35" s="112">
        <v>88920.38</v>
      </c>
      <c r="E35" s="103"/>
      <c r="F35" s="107">
        <f>723584.32+4875</f>
        <v>728459.32</v>
      </c>
      <c r="G35" s="102"/>
      <c r="H35" s="107">
        <f>+B35+F35</f>
        <v>828122.32</v>
      </c>
      <c r="I35" s="102"/>
      <c r="J35" s="102"/>
    </row>
    <row r="36" spans="1:10" s="106" customFormat="1" ht="16.5" x14ac:dyDescent="0.35">
      <c r="A36" s="128" t="s">
        <v>55</v>
      </c>
      <c r="B36" s="110">
        <f>SUM(B10:B35)</f>
        <v>30855999</v>
      </c>
      <c r="C36" s="110"/>
      <c r="D36" s="110">
        <f>SUM(D10:D35)</f>
        <v>282006.38</v>
      </c>
      <c r="E36" s="110"/>
      <c r="F36" s="110">
        <f>SUM(F10:F35)</f>
        <v>2778528.32</v>
      </c>
      <c r="G36" s="111"/>
      <c r="H36" s="110">
        <f>SUM(H10:H35)</f>
        <v>33634527.32</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155357</v>
      </c>
      <c r="E39" s="103"/>
      <c r="F39" s="103">
        <v>2832233</v>
      </c>
      <c r="G39" s="102"/>
      <c r="H39" s="103">
        <f t="shared" ref="H39:H47" si="0">+B39+F39</f>
        <v>12444133</v>
      </c>
      <c r="I39" s="102"/>
      <c r="J39" s="102"/>
    </row>
    <row r="40" spans="1:10" s="106" customFormat="1" x14ac:dyDescent="0.25">
      <c r="A40" s="102" t="s">
        <v>58</v>
      </c>
      <c r="B40" s="103">
        <v>513009</v>
      </c>
      <c r="C40" s="103"/>
      <c r="D40" s="103">
        <v>0</v>
      </c>
      <c r="E40" s="103"/>
      <c r="F40" s="103">
        <v>-107460</v>
      </c>
      <c r="G40" s="102"/>
      <c r="H40" s="103">
        <f t="shared" si="0"/>
        <v>405549</v>
      </c>
      <c r="I40" s="102"/>
      <c r="J40" s="102"/>
    </row>
    <row r="41" spans="1:10" s="106" customFormat="1" x14ac:dyDescent="0.25">
      <c r="A41" s="102" t="s">
        <v>59</v>
      </c>
      <c r="B41" s="103">
        <v>2883205</v>
      </c>
      <c r="C41" s="103"/>
      <c r="D41" s="103">
        <v>17979</v>
      </c>
      <c r="E41" s="103"/>
      <c r="F41" s="103">
        <v>574031</v>
      </c>
      <c r="G41" s="102"/>
      <c r="H41" s="103">
        <f t="shared" si="0"/>
        <v>3457236</v>
      </c>
      <c r="I41" s="102"/>
      <c r="J41" s="102"/>
    </row>
    <row r="42" spans="1:10" s="106" customFormat="1" x14ac:dyDescent="0.25">
      <c r="A42" s="102" t="s">
        <v>60</v>
      </c>
      <c r="B42" s="103">
        <v>2162465</v>
      </c>
      <c r="C42" s="103"/>
      <c r="D42" s="103">
        <v>18502</v>
      </c>
      <c r="E42" s="103"/>
      <c r="F42" s="103">
        <v>528951</v>
      </c>
      <c r="G42" s="102"/>
      <c r="H42" s="103">
        <f t="shared" si="0"/>
        <v>2691416</v>
      </c>
      <c r="I42" s="102"/>
      <c r="J42" s="102"/>
    </row>
    <row r="43" spans="1:10" s="106" customFormat="1" x14ac:dyDescent="0.25">
      <c r="A43" s="102" t="s">
        <v>61</v>
      </c>
      <c r="B43" s="103">
        <v>5986423</v>
      </c>
      <c r="C43" s="103"/>
      <c r="D43" s="103">
        <v>43674</v>
      </c>
      <c r="E43" s="103"/>
      <c r="F43" s="103">
        <v>1021829</v>
      </c>
      <c r="G43" s="102"/>
      <c r="H43" s="103">
        <f t="shared" si="0"/>
        <v>7008252</v>
      </c>
      <c r="I43" s="102"/>
      <c r="J43" s="102"/>
    </row>
    <row r="44" spans="1:10" s="106" customFormat="1" x14ac:dyDescent="0.25">
      <c r="A44" s="102" t="s">
        <v>62</v>
      </c>
      <c r="B44" s="103">
        <v>4186776</v>
      </c>
      <c r="C44" s="103"/>
      <c r="D44" s="103">
        <v>2427</v>
      </c>
      <c r="E44" s="103"/>
      <c r="F44" s="103">
        <v>687913</v>
      </c>
      <c r="G44" s="102"/>
      <c r="H44" s="103">
        <f t="shared" si="0"/>
        <v>4874689</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44068</v>
      </c>
      <c r="E46" s="103"/>
      <c r="F46" s="103">
        <v>-2953693</v>
      </c>
      <c r="G46" s="102"/>
      <c r="H46" s="103">
        <f t="shared" si="0"/>
        <v>1567980</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28" t="s">
        <v>55</v>
      </c>
      <c r="B48" s="103">
        <f>SUM(B39:B47)</f>
        <v>30032502</v>
      </c>
      <c r="C48" s="103"/>
      <c r="D48" s="103">
        <f>SUM(D39:D47)</f>
        <v>282007</v>
      </c>
      <c r="E48" s="103"/>
      <c r="F48" s="103">
        <f>SUM(F39:F47)</f>
        <v>2583804</v>
      </c>
      <c r="G48" s="102"/>
      <c r="H48" s="103">
        <f>SUM(H39:H47)</f>
        <v>32616306</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09"/>
    </row>
    <row r="53" spans="1:10" s="106" customFormat="1" ht="16.5" x14ac:dyDescent="0.35">
      <c r="A53" s="128"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-0.61999999999534339</v>
      </c>
      <c r="E55" s="105"/>
      <c r="F55" s="104">
        <f>+F36-F48+F53</f>
        <v>194724.31999999983</v>
      </c>
      <c r="G55" s="105"/>
      <c r="H55" s="104">
        <f>+H36-H48+H53</f>
        <v>576221.3200000003</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K30" sqref="K30"/>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July 31,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6"/>
      <c r="C6" s="118"/>
      <c r="D6" s="116" t="s">
        <v>218</v>
      </c>
      <c r="E6" s="116"/>
      <c r="F6" s="116" t="s">
        <v>258</v>
      </c>
      <c r="G6" s="118"/>
      <c r="H6" s="116"/>
      <c r="I6" s="118"/>
      <c r="J6" s="102"/>
    </row>
    <row r="7" spans="1:10" s="106" customFormat="1" x14ac:dyDescent="0.25">
      <c r="A7" s="102"/>
      <c r="B7" s="118" t="s">
        <v>90</v>
      </c>
      <c r="C7" s="118"/>
      <c r="D7" s="116" t="s">
        <v>33</v>
      </c>
      <c r="E7" s="116"/>
      <c r="F7" s="116" t="s">
        <v>33</v>
      </c>
      <c r="G7" s="118"/>
      <c r="H7" s="116" t="s">
        <v>32</v>
      </c>
      <c r="I7" s="118"/>
      <c r="J7" s="102"/>
    </row>
    <row r="8" spans="1:10" s="106" customFormat="1" x14ac:dyDescent="0.25">
      <c r="A8" s="102"/>
      <c r="B8" s="124" t="s">
        <v>33</v>
      </c>
      <c r="C8" s="118"/>
      <c r="D8" s="117" t="s">
        <v>219</v>
      </c>
      <c r="E8" s="116"/>
      <c r="F8" s="115" t="s">
        <v>219</v>
      </c>
      <c r="G8" s="118"/>
      <c r="H8" s="115" t="s">
        <v>33</v>
      </c>
      <c r="I8" s="118"/>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0"/>
      <c r="D10" s="114">
        <v>0</v>
      </c>
      <c r="E10" s="120"/>
      <c r="F10" s="105">
        <v>0</v>
      </c>
      <c r="G10" s="119"/>
      <c r="H10" s="105">
        <f>+B10+F10</f>
        <v>2447900</v>
      </c>
      <c r="I10" s="119"/>
      <c r="J10" s="102"/>
    </row>
    <row r="11" spans="1:10" s="106" customFormat="1" ht="16.5" x14ac:dyDescent="0.35">
      <c r="A11" s="102" t="s">
        <v>78</v>
      </c>
      <c r="B11" s="123">
        <v>0</v>
      </c>
      <c r="C11" s="120"/>
      <c r="D11" s="121">
        <v>0</v>
      </c>
      <c r="E11" s="121"/>
      <c r="F11" s="121">
        <v>0</v>
      </c>
      <c r="G11" s="119"/>
      <c r="H11" s="121">
        <f>+B11+F11</f>
        <v>0</v>
      </c>
      <c r="I11" s="119"/>
      <c r="J11" s="102"/>
    </row>
    <row r="12" spans="1:10" s="106" customFormat="1" ht="16.5" x14ac:dyDescent="0.35">
      <c r="A12" s="118" t="s">
        <v>55</v>
      </c>
      <c r="B12" s="121">
        <f>SUM(B10:B11)</f>
        <v>2447900</v>
      </c>
      <c r="C12" s="120"/>
      <c r="D12" s="121">
        <f>SUM(D10:D11)</f>
        <v>0</v>
      </c>
      <c r="E12" s="120"/>
      <c r="F12" s="121">
        <f>SUM(F10:F11)</f>
        <v>0</v>
      </c>
      <c r="G12" s="119"/>
      <c r="H12" s="121">
        <f>SUM(H10:H11)</f>
        <v>2447900</v>
      </c>
      <c r="I12" s="119"/>
      <c r="J12" s="102"/>
    </row>
    <row r="13" spans="1:10" s="106" customFormat="1" x14ac:dyDescent="0.25">
      <c r="A13" s="102"/>
      <c r="B13" s="120"/>
      <c r="C13" s="120"/>
      <c r="D13" s="120"/>
      <c r="E13" s="120"/>
      <c r="F13" s="120"/>
      <c r="G13" s="119"/>
      <c r="H13" s="120"/>
      <c r="I13" s="119"/>
      <c r="J13" s="102"/>
    </row>
    <row r="14" spans="1:10" s="106" customFormat="1" x14ac:dyDescent="0.25">
      <c r="A14" s="102" t="s">
        <v>56</v>
      </c>
      <c r="B14" s="120"/>
      <c r="C14" s="120"/>
      <c r="D14" s="120"/>
      <c r="E14" s="120"/>
      <c r="F14" s="120"/>
      <c r="G14" s="119"/>
      <c r="H14" s="120"/>
      <c r="I14" s="119"/>
      <c r="J14" s="102"/>
    </row>
    <row r="15" spans="1:10" s="106" customFormat="1" x14ac:dyDescent="0.25">
      <c r="A15" s="102" t="s">
        <v>79</v>
      </c>
      <c r="B15" s="120">
        <v>567554</v>
      </c>
      <c r="C15" s="120"/>
      <c r="D15" s="120">
        <v>0</v>
      </c>
      <c r="E15" s="120"/>
      <c r="F15" s="120">
        <v>0</v>
      </c>
      <c r="G15" s="119"/>
      <c r="H15" s="120">
        <f t="shared" ref="H15:H27" si="0">+B15+F15</f>
        <v>567554</v>
      </c>
      <c r="I15" s="119"/>
      <c r="J15" s="102"/>
    </row>
    <row r="16" spans="1:10" s="106" customFormat="1" x14ac:dyDescent="0.25">
      <c r="A16" s="102" t="s">
        <v>80</v>
      </c>
      <c r="B16" s="120">
        <v>6905</v>
      </c>
      <c r="C16" s="120"/>
      <c r="D16" s="120">
        <v>0</v>
      </c>
      <c r="E16" s="120"/>
      <c r="F16" s="120">
        <v>194724</v>
      </c>
      <c r="G16" s="119"/>
      <c r="H16" s="120">
        <f t="shared" si="0"/>
        <v>201629</v>
      </c>
      <c r="I16" s="119"/>
      <c r="J16" s="102"/>
    </row>
    <row r="17" spans="1:10" s="106" customFormat="1" x14ac:dyDescent="0.25">
      <c r="A17" s="102" t="s">
        <v>81</v>
      </c>
      <c r="B17" s="120">
        <v>192919</v>
      </c>
      <c r="C17" s="120"/>
      <c r="D17" s="120">
        <v>0</v>
      </c>
      <c r="E17" s="120"/>
      <c r="F17" s="120">
        <v>0</v>
      </c>
      <c r="G17" s="119"/>
      <c r="H17" s="120">
        <f t="shared" si="0"/>
        <v>192919</v>
      </c>
      <c r="I17" s="119"/>
      <c r="J17" s="102"/>
    </row>
    <row r="18" spans="1:10" s="106" customFormat="1" x14ac:dyDescent="0.25">
      <c r="A18" s="102" t="s">
        <v>82</v>
      </c>
      <c r="B18" s="120">
        <v>139323</v>
      </c>
      <c r="C18" s="120"/>
      <c r="D18" s="120">
        <v>0</v>
      </c>
      <c r="E18" s="120"/>
      <c r="F18" s="120">
        <v>0</v>
      </c>
      <c r="G18" s="119"/>
      <c r="H18" s="120">
        <f t="shared" si="0"/>
        <v>139323</v>
      </c>
      <c r="I18" s="119"/>
      <c r="J18" s="102"/>
    </row>
    <row r="19" spans="1:10" s="106" customFormat="1" x14ac:dyDescent="0.25">
      <c r="A19" s="102" t="s">
        <v>83</v>
      </c>
      <c r="B19" s="120">
        <v>26850</v>
      </c>
      <c r="C19" s="120"/>
      <c r="D19" s="120">
        <v>0</v>
      </c>
      <c r="E19" s="120"/>
      <c r="F19" s="120">
        <v>0</v>
      </c>
      <c r="G19" s="119"/>
      <c r="H19" s="120">
        <f t="shared" si="0"/>
        <v>26850</v>
      </c>
      <c r="I19" s="119"/>
      <c r="J19" s="102"/>
    </row>
    <row r="20" spans="1:10" s="106" customFormat="1" x14ac:dyDescent="0.25">
      <c r="A20" s="102" t="s">
        <v>88</v>
      </c>
      <c r="B20" s="120">
        <v>11815</v>
      </c>
      <c r="C20" s="120"/>
      <c r="D20" s="120">
        <v>0</v>
      </c>
      <c r="E20" s="120"/>
      <c r="F20" s="120">
        <v>0</v>
      </c>
      <c r="G20" s="119"/>
      <c r="H20" s="120">
        <f t="shared" si="0"/>
        <v>11815</v>
      </c>
      <c r="I20" s="119"/>
      <c r="J20" s="102"/>
    </row>
    <row r="21" spans="1:10" s="106" customFormat="1" x14ac:dyDescent="0.25">
      <c r="A21" s="102" t="s">
        <v>84</v>
      </c>
      <c r="B21" s="120">
        <v>14175</v>
      </c>
      <c r="C21" s="120"/>
      <c r="D21" s="120">
        <v>0</v>
      </c>
      <c r="E21" s="120"/>
      <c r="F21" s="120">
        <v>0</v>
      </c>
      <c r="G21" s="119"/>
      <c r="H21" s="120">
        <f t="shared" si="0"/>
        <v>14175</v>
      </c>
      <c r="I21" s="119"/>
      <c r="J21" s="102"/>
    </row>
    <row r="22" spans="1:10" s="106" customFormat="1" x14ac:dyDescent="0.25">
      <c r="A22" s="102" t="s">
        <v>85</v>
      </c>
      <c r="B22" s="120">
        <v>4000</v>
      </c>
      <c r="C22" s="120"/>
      <c r="D22" s="120">
        <v>0</v>
      </c>
      <c r="E22" s="120"/>
      <c r="F22" s="120">
        <v>0</v>
      </c>
      <c r="G22" s="119"/>
      <c r="H22" s="120">
        <f t="shared" si="0"/>
        <v>4000</v>
      </c>
      <c r="I22" s="119"/>
      <c r="J22" s="102"/>
    </row>
    <row r="23" spans="1:10" s="106" customFormat="1" x14ac:dyDescent="0.25">
      <c r="A23" s="102" t="s">
        <v>86</v>
      </c>
      <c r="B23" s="120">
        <v>3000</v>
      </c>
      <c r="C23" s="120"/>
      <c r="D23" s="120">
        <v>0</v>
      </c>
      <c r="E23" s="120"/>
      <c r="F23" s="120">
        <v>0</v>
      </c>
      <c r="G23" s="119"/>
      <c r="H23" s="120">
        <f t="shared" si="0"/>
        <v>3000</v>
      </c>
      <c r="I23" s="119"/>
      <c r="J23" s="102"/>
    </row>
    <row r="24" spans="1:10" s="106" customFormat="1" x14ac:dyDescent="0.25">
      <c r="A24" s="102" t="s">
        <v>87</v>
      </c>
      <c r="B24" s="120">
        <f>199300+100073</f>
        <v>299373</v>
      </c>
      <c r="C24" s="120"/>
      <c r="D24" s="120">
        <v>0</v>
      </c>
      <c r="E24" s="120"/>
      <c r="F24" s="120">
        <v>0</v>
      </c>
      <c r="G24" s="119"/>
      <c r="H24" s="120">
        <f t="shared" si="0"/>
        <v>299373</v>
      </c>
      <c r="I24" s="119"/>
      <c r="J24" s="102"/>
    </row>
    <row r="25" spans="1:10" s="106" customFormat="1" x14ac:dyDescent="0.25">
      <c r="A25" s="102" t="s">
        <v>63</v>
      </c>
      <c r="B25" s="120">
        <v>42000</v>
      </c>
      <c r="C25" s="120"/>
      <c r="D25" s="120">
        <v>0</v>
      </c>
      <c r="E25" s="120"/>
      <c r="F25" s="120">
        <v>0</v>
      </c>
      <c r="G25" s="119"/>
      <c r="H25" s="120">
        <f t="shared" si="0"/>
        <v>42000</v>
      </c>
      <c r="I25" s="119"/>
      <c r="J25" s="102"/>
    </row>
    <row r="26" spans="1:10" s="106" customFormat="1" x14ac:dyDescent="0.25">
      <c r="A26" s="102" t="s">
        <v>64</v>
      </c>
      <c r="B26" s="120">
        <v>1514880</v>
      </c>
      <c r="C26" s="120"/>
      <c r="D26" s="120">
        <v>0</v>
      </c>
      <c r="E26" s="120"/>
      <c r="F26" s="120">
        <v>0</v>
      </c>
      <c r="G26" s="119"/>
      <c r="H26" s="120">
        <f t="shared" si="0"/>
        <v>1514880</v>
      </c>
      <c r="I26" s="119"/>
      <c r="J26" s="102"/>
    </row>
    <row r="27" spans="1:10" s="106" customFormat="1" ht="16.5" x14ac:dyDescent="0.35">
      <c r="A27" s="102" t="s">
        <v>89</v>
      </c>
      <c r="B27" s="121">
        <v>6603</v>
      </c>
      <c r="C27" s="120"/>
      <c r="D27" s="121">
        <v>0</v>
      </c>
      <c r="E27" s="120"/>
      <c r="F27" s="121">
        <v>0</v>
      </c>
      <c r="G27" s="122"/>
      <c r="H27" s="121">
        <f t="shared" si="0"/>
        <v>6603</v>
      </c>
      <c r="I27" s="119"/>
      <c r="J27" s="102"/>
    </row>
    <row r="28" spans="1:10" s="106" customFormat="1" ht="16.5" x14ac:dyDescent="0.35">
      <c r="A28" s="118" t="s">
        <v>55</v>
      </c>
      <c r="B28" s="121">
        <f>SUM(B15:B27)</f>
        <v>2829397</v>
      </c>
      <c r="C28" s="120"/>
      <c r="D28" s="121">
        <f>SUM(D15:D27)</f>
        <v>0</v>
      </c>
      <c r="E28" s="120"/>
      <c r="F28" s="121">
        <f>SUM(F15:F27)</f>
        <v>194724</v>
      </c>
      <c r="G28" s="119"/>
      <c r="H28" s="121">
        <f>SUM(H15:H27)</f>
        <v>3024121</v>
      </c>
      <c r="I28" s="119"/>
      <c r="J28" s="102"/>
    </row>
    <row r="29" spans="1:10" s="102" customFormat="1" ht="3.75" customHeight="1" x14ac:dyDescent="0.2">
      <c r="B29" s="120"/>
      <c r="C29" s="120"/>
      <c r="D29" s="120"/>
      <c r="E29" s="120"/>
      <c r="F29" s="120"/>
      <c r="G29" s="119"/>
      <c r="H29" s="120"/>
      <c r="I29" s="119"/>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09"/>
    </row>
    <row r="33" spans="1:10" s="106" customFormat="1" ht="16.5" x14ac:dyDescent="0.35">
      <c r="A33" s="118" t="s">
        <v>55</v>
      </c>
      <c r="B33" s="107">
        <f>SUM(B31:B32)</f>
        <v>0</v>
      </c>
      <c r="C33" s="107"/>
      <c r="D33" s="107">
        <f>SUM(D31:D32)</f>
        <v>0</v>
      </c>
      <c r="E33" s="107"/>
      <c r="F33" s="107">
        <f>SUM(F31:F32)</f>
        <v>0</v>
      </c>
      <c r="G33" s="108"/>
      <c r="H33" s="107">
        <f>SUM(H31:H32)</f>
        <v>0</v>
      </c>
      <c r="I33" s="102"/>
      <c r="J33" s="102"/>
    </row>
    <row r="34" spans="1:10" s="102" customFormat="1" ht="3.75" customHeight="1" x14ac:dyDescent="0.2">
      <c r="B34" s="120"/>
      <c r="C34" s="120"/>
      <c r="D34" s="120"/>
      <c r="E34" s="120"/>
      <c r="F34" s="120"/>
      <c r="G34" s="119"/>
      <c r="H34" s="120"/>
      <c r="I34" s="119"/>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0"/>
      <c r="C36" s="120"/>
      <c r="D36" s="120"/>
      <c r="E36" s="120"/>
      <c r="F36" s="120"/>
      <c r="G36" s="119"/>
      <c r="H36" s="120"/>
      <c r="I36" s="119"/>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G78" sqref="G78"/>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July 31, 2024</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75"/>
  <sheetViews>
    <sheetView zoomScaleNormal="100" workbookViewId="0">
      <selection activeCell="D49" sqref="D49"/>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10.71093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July 31,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45107</v>
      </c>
    </row>
    <row r="9" spans="1:11" x14ac:dyDescent="0.25">
      <c r="B9" s="22" t="s">
        <v>33</v>
      </c>
      <c r="C9" s="56"/>
      <c r="D9" s="23" t="s">
        <v>35</v>
      </c>
      <c r="E9" s="56"/>
      <c r="F9" s="22" t="s">
        <v>33</v>
      </c>
      <c r="G9" s="56"/>
      <c r="H9" s="24">
        <v>45107</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5334445.84</v>
      </c>
      <c r="F11" s="3">
        <f t="shared" ref="F11:F23" si="0">+(D11-B11)/B11+1</f>
        <v>0.9999999700062574</v>
      </c>
      <c r="H11" s="32">
        <f>+'Rev, Exp, Cha Unrestricted'!H10+'Rev, Exp, Cha Federal Restrict'!H10+'Rev, Exp, Cha State Restr '!H10+'Rev, Exp, Cha Local Restr '!H10+'Rev, Exp, Cha Debt Service'!H10</f>
        <v>4617390</v>
      </c>
      <c r="J11" s="3">
        <f>+(D11-H11)/H11+1</f>
        <v>1.1552946231529067</v>
      </c>
      <c r="K11" s="16" t="s">
        <v>111</v>
      </c>
    </row>
    <row r="12" spans="1:11" x14ac:dyDescent="0.25">
      <c r="A12" s="4" t="s">
        <v>92</v>
      </c>
      <c r="B12" s="25"/>
      <c r="C12" s="6"/>
      <c r="D12" s="32"/>
      <c r="F12" s="3"/>
      <c r="H12" s="32"/>
      <c r="J12" s="3"/>
    </row>
    <row r="13" spans="1:11" x14ac:dyDescent="0.25">
      <c r="A13" s="10" t="s">
        <v>93</v>
      </c>
      <c r="B13" s="5">
        <f>+'Rev, Exp, Cha Unrestricted'!B12</f>
        <v>1472404</v>
      </c>
      <c r="C13" s="6"/>
      <c r="D13" s="5">
        <f>+'Rev, Exp, Cha Unrestricted'!D12</f>
        <v>1472407</v>
      </c>
      <c r="F13" s="3">
        <f t="shared" si="0"/>
        <v>1.0000020374842775</v>
      </c>
      <c r="H13" s="5">
        <f>+'Rev, Exp, Cha Unrestricted'!H12</f>
        <v>1365937.4</v>
      </c>
      <c r="J13" s="3">
        <f>+(D13-H13)/H13+1</f>
        <v>1.0779461782069955</v>
      </c>
      <c r="K13" s="16" t="s">
        <v>112</v>
      </c>
    </row>
    <row r="14" spans="1:11" x14ac:dyDescent="0.25">
      <c r="A14" s="10" t="s">
        <v>94</v>
      </c>
      <c r="B14" s="5">
        <f>+'Rev, Exp, Cha Unrestricted'!B13</f>
        <v>577665</v>
      </c>
      <c r="C14" s="6"/>
      <c r="D14" s="5">
        <f>+'Rev, Exp, Cha Unrestricted'!D13</f>
        <v>577664.97</v>
      </c>
      <c r="F14" s="3">
        <f t="shared" si="0"/>
        <v>0.99999994806678605</v>
      </c>
      <c r="H14" s="5">
        <f>+'Rev, Exp, Cha Unrestricted'!H13</f>
        <v>475315.62</v>
      </c>
      <c r="J14" s="3">
        <f>+(D14-H14)/H14+1</f>
        <v>1.2153292374443743</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13998598.33</v>
      </c>
      <c r="F16" s="3">
        <f t="shared" si="0"/>
        <v>1.0187026577848246</v>
      </c>
      <c r="H16" s="5">
        <f>+'Rev, Exp, Cha Unrestricted'!H15+'Rev, Exp, Cha Federal Restrict'!H15+'Rev, Exp, Cha State Restr '!H15+'Rev, Exp, Cha Local Restr '!H15+'Rev, Exp, Cha Debt Service'!H12</f>
        <v>13665934.359999999</v>
      </c>
      <c r="J16" s="3">
        <f>+(D16-H16)/H16+1</f>
        <v>1.0243425704556071</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2906267.07</v>
      </c>
      <c r="F17" s="3">
        <f t="shared" si="0"/>
        <v>1.0198287118915277</v>
      </c>
      <c r="H17" s="5">
        <f>+'Rev, Exp, Cha Unrestricted'!H16+'Rev, Exp, Cha Federal Restrict'!H16+'Rev, Exp, Cha State Restr '!H16+'Rev, Exp, Cha Local Restr '!H16+'Rev, Exp, Cha Debt Service'!H13</f>
        <v>2667752.54</v>
      </c>
      <c r="J17" s="3">
        <f>+(D17-H17)/H17+1</f>
        <v>1.0894065421825068</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4523191.45</v>
      </c>
      <c r="F19" s="3">
        <f t="shared" si="0"/>
        <v>1.0577800958205774</v>
      </c>
      <c r="H19" s="5">
        <f>+'Rev, Exp, Cha Unrestricted'!H18+'Rev, Exp, Cha Federal Restrict'!H18+'Rev, Exp, Cha State Restr '!H18+'Rev, Exp, Cha Local Restr '!H18+'Rev, Exp, Cha Debt Service'!H15</f>
        <v>4535184.84</v>
      </c>
      <c r="J19" s="3">
        <f>+(D19-H19)/H19+1</f>
        <v>0.99735547934138891</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1360365.24</v>
      </c>
      <c r="F20" s="3">
        <f t="shared" si="0"/>
        <v>0.85460008857813252</v>
      </c>
      <c r="H20" s="5">
        <f>+'Rev, Exp, Cha Unrestricted'!H19+'Rev, Exp, Cha Federal Restrict'!H19+'Rev, Exp, Cha State Restr '!H19+'Rev, Exp, Cha Local Restr '!H19+'Rev, Exp, Cha Debt Service'!H16</f>
        <v>1198033.57</v>
      </c>
      <c r="J20" s="3">
        <f>+(D20-H20)/H20+1</f>
        <v>1.1354984318177328</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-127075</v>
      </c>
      <c r="F21" s="3">
        <f t="shared" si="0"/>
        <v>0.57761363636363638</v>
      </c>
      <c r="H21" s="5">
        <f>+'Rev, Exp, Cha Unrestricted'!H20+'Rev, Exp, Cha Federal Restrict'!H20+'Rev, Exp, Cha State Restr '!H20+'Rev, Exp, Cha Local Restr '!H20+'Rev, Exp, Cha Debt Service'!H17</f>
        <v>-101891</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5420309.9900000002</v>
      </c>
      <c r="F23" s="3">
        <f t="shared" si="0"/>
        <v>1.0872471973894722</v>
      </c>
      <c r="H23" s="5">
        <f>+'Rev, Exp, Cha Unrestricted'!H22+'Rev, Exp, Cha Federal Restrict'!H22+'Rev, Exp, Cha State Restr '!H22+'Rev, Exp, Cha Local Restr '!H22+'Rev, Exp, Cha Debt Service'!H19</f>
        <v>5285029.43</v>
      </c>
      <c r="J23" s="3">
        <f>+(D23-H23)/H23+1</f>
        <v>1.0255969359852743</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-198378.1</v>
      </c>
      <c r="F26" s="3">
        <f t="shared" ref="F26:F33" si="1">+(D26-B26)/B26+1</f>
        <v>0.66126033333333334</v>
      </c>
      <c r="H26" s="5">
        <f>+'Rev, Exp, Cha Unrestricted'!H25+'Rev, Exp, Cha Federal Restrict'!H25+'Rev, Exp, Cha State Restr '!H25+'Rev, Exp, Cha Local Restr '!H25+'Rev, Exp, Cha Debt Service'!H22</f>
        <v>-235351.55</v>
      </c>
      <c r="J26" s="3">
        <f t="shared" ref="J26:J33" si="2">+(D26-H26)/H26+1</f>
        <v>0.84290118335740738</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496362.82</v>
      </c>
      <c r="F28" s="3">
        <f t="shared" si="1"/>
        <v>1.1459057350367761</v>
      </c>
      <c r="H28" s="5">
        <f>+'Rev, Exp, Cha Unrestricted'!H27+'Rev, Exp, Cha Federal Restrict'!H27+'Rev, Exp, Cha State Restr '!H27+'Rev, Exp, Cha Local Restr '!H27+'Rev, Exp, Cha Debt Service'!H24</f>
        <v>472200.7</v>
      </c>
      <c r="J28" s="3">
        <f t="shared" si="2"/>
        <v>1.051169174463316</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709947.3899999999</v>
      </c>
      <c r="F30" s="3">
        <f t="shared" si="1"/>
        <v>0.88743090963408877</v>
      </c>
      <c r="H30" s="5">
        <f>+'Rev, Exp, Cha Unrestricted'!H28+'Rev, Exp, Cha Federal Restrict'!H28+'Rev, Exp, Cha State Restr '!H28+'Rev, Exp, Cha Local Restr '!H28+'Rev, Exp, Cha Debt Service'!H26</f>
        <v>525261.12</v>
      </c>
      <c r="J30" s="3">
        <f t="shared" si="2"/>
        <v>1.3516084914109003</v>
      </c>
      <c r="K30" s="16" t="s">
        <v>127</v>
      </c>
    </row>
    <row r="31" spans="1:13" x14ac:dyDescent="0.25">
      <c r="A31" s="4" t="s">
        <v>64</v>
      </c>
      <c r="B31" s="6">
        <f>+'Rev, Exp, Cha Auxiliary'!B13</f>
        <v>2447900</v>
      </c>
      <c r="C31" s="6"/>
      <c r="D31" s="5">
        <f>+'Rev, Exp, Cha Auxiliary'!D13</f>
        <v>1622159.48</v>
      </c>
      <c r="F31" s="3">
        <f t="shared" si="1"/>
        <v>0.66267391641815432</v>
      </c>
      <c r="H31" s="5">
        <f>+'Rev, Exp, Cha Auxiliary'!H13</f>
        <v>1809853.84</v>
      </c>
      <c r="J31" s="3">
        <f t="shared" si="2"/>
        <v>0.89629308408683428</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136866.53</v>
      </c>
      <c r="F32" s="3">
        <f t="shared" si="1"/>
        <v>1.2021653930610452</v>
      </c>
      <c r="H32" s="5">
        <f>+'Rev, Exp, Cha Unrestricted'!H30+'Rev, Exp, Cha Federal Restrict'!H30+'Rev, Exp, Cha State Restr '!H30+'Rev, Exp, Cha Local Restr '!H30+'Rev, Exp, Cha Debt Service'!H28</f>
        <v>133562.37</v>
      </c>
      <c r="J32" s="3">
        <f t="shared" si="2"/>
        <v>1.0247387044719258</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6757030.75</v>
      </c>
      <c r="F33" s="3">
        <f t="shared" si="1"/>
        <v>2.0400701989882117</v>
      </c>
      <c r="H33" s="5">
        <f>+'Rev, Exp, Cha Unrestricted'!H31+'Rev, Exp, Cha Federal Restrict'!H31+'Rev, Exp, Cha State Restr '!H31+'Rev, Exp, Cha Local Restr '!H31+'Rev, Exp, Cha Debt Service'!H29</f>
        <v>5924781.0599999996</v>
      </c>
      <c r="J33" s="3">
        <f t="shared" si="2"/>
        <v>1.1404692733067845</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5069661.3600000003</v>
      </c>
      <c r="F35" s="3">
        <f t="shared" ref="F35:F38" si="3">+(D35-B35)/B35+1</f>
        <v>1.6717629802764957</v>
      </c>
      <c r="H35" s="5">
        <f>+'Rev, Exp, Cha Unrestricted'!H33+'Rev, Exp, Cha Federal Restrict'!H33+'Rev, Exp, Cha State Restr '!H33+'Rev, Exp, Cha Local Restr '!H33+'Rev, Exp, Cha Debt Service'!H31</f>
        <v>3827559.41</v>
      </c>
      <c r="J35" s="3">
        <f t="shared" ref="J35:J38" si="4">+(D35-H35)/H35+1</f>
        <v>1.324515394001422</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589999.61</v>
      </c>
      <c r="F36" s="3">
        <f t="shared" si="3"/>
        <v>2.690168158419092</v>
      </c>
      <c r="H36" s="5">
        <f>+'Rev, Exp, Cha Unrestricted'!H34+'Rev, Exp, Cha Federal Restrict'!H34+'Rev, Exp, Cha State Restr '!H34+'Rev, Exp, Cha Local Restr '!H34+'Rev, Exp, Cha Debt Service'!H32</f>
        <v>277642.75</v>
      </c>
      <c r="J36" s="3">
        <f t="shared" si="4"/>
        <v>2.1250315738480472</v>
      </c>
      <c r="K36" s="16" t="s">
        <v>141</v>
      </c>
    </row>
    <row r="37" spans="1:11" ht="16.5" x14ac:dyDescent="0.35">
      <c r="A37" s="10" t="s">
        <v>54</v>
      </c>
      <c r="B37" s="26">
        <f>+'Rev, Exp, Cha Unrestricted'!B35+'Rev, Exp, Cha Federal Restrict'!B35+'Rev, Exp, Cha State Restr '!B35+'Rev, Exp, Cha Local Restr '!B35+'Rev, Exp, Cha Debt Service'!B33</f>
        <v>874008</v>
      </c>
      <c r="C37" s="6"/>
      <c r="D37" s="8">
        <f>+'Rev, Exp, Cha Unrestricted'!D35+'Rev, Exp, Cha Federal Restrict'!D35+'Rev, Exp, Cha State Restr '!D35+'Rev, Exp, Cha Local Restr '!D35+'Rev, Exp, Cha Debt Service'!D33</f>
        <v>847086.98</v>
      </c>
      <c r="F37" s="3">
        <f t="shared" si="3"/>
        <v>0.96919819955881403</v>
      </c>
      <c r="H37" s="8">
        <f>+'Rev, Exp, Cha Unrestricted'!H35+'Rev, Exp, Cha Federal Restrict'!H35+'Rev, Exp, Cha State Restr '!H35+'Rev, Exp, Cha Local Restr '!H35+'Rev, Exp, Cha Debt Service'!H33</f>
        <v>291475.64</v>
      </c>
      <c r="J37" s="3">
        <f t="shared" si="4"/>
        <v>2.9062016297485442</v>
      </c>
      <c r="K37" s="16" t="s">
        <v>142</v>
      </c>
    </row>
    <row r="38" spans="1:11" ht="16.5" x14ac:dyDescent="0.35">
      <c r="A38" s="56" t="s">
        <v>55</v>
      </c>
      <c r="B38" s="26">
        <f>SUM(B11:B37)</f>
        <v>45542073</v>
      </c>
      <c r="C38" s="6"/>
      <c r="D38" s="8">
        <f>SUM(D11:D37)</f>
        <v>51496911.709999993</v>
      </c>
      <c r="F38" s="3">
        <f t="shared" si="3"/>
        <v>1.1307546696436062</v>
      </c>
      <c r="H38" s="8">
        <f>SUM(H11:H37)</f>
        <v>46735672.099999994</v>
      </c>
      <c r="J38" s="3">
        <f t="shared" si="4"/>
        <v>1.1018759203850199</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13341888</v>
      </c>
      <c r="C41" s="6"/>
      <c r="D41" s="5">
        <f>+'Rev, Exp, Cha Unrestricted'!D39+'Rev, Exp, Cha Federal Restrict'!D39+'Rev, Exp, Cha State Restr '!D39+'Rev, Exp, Cha Local Restr '!D39</f>
        <v>13462110.260000002</v>
      </c>
      <c r="F41" s="3">
        <f t="shared" ref="F41:F52" si="5">+(D41-B41)/B41+1</f>
        <v>1.0090108881141862</v>
      </c>
      <c r="H41" s="5">
        <f>+'Rev, Exp, Cha Unrestricted'!H39+'Rev, Exp, Cha Federal Restrict'!H39+'Rev, Exp, Cha State Restr '!H39+'Rev, Exp, Cha Local Restr '!H39</f>
        <v>12615016.270000001</v>
      </c>
      <c r="J41" s="3">
        <f t="shared" ref="J41:J50" si="6">+(D41-H41)/H41+1</f>
        <v>1.0671496549722643</v>
      </c>
      <c r="K41" s="16" t="s">
        <v>143</v>
      </c>
    </row>
    <row r="42" spans="1:11" x14ac:dyDescent="0.25">
      <c r="A42" s="4" t="s">
        <v>58</v>
      </c>
      <c r="B42" s="6">
        <f>+'Rev, Exp, Cha Unrestricted'!B40+'Rev, Exp, Cha Federal Restrict'!B40+'Rev, Exp, Cha State Restr '!B40+'Rev, Exp, Cha Local Restr '!B40</f>
        <v>405549</v>
      </c>
      <c r="C42" s="6"/>
      <c r="D42" s="5">
        <f>+'Rev, Exp, Cha Unrestricted'!D40+'Rev, Exp, Cha Federal Restrict'!D40+'Rev, Exp, Cha State Restr '!D40+'Rev, Exp, Cha Local Restr '!D40</f>
        <v>166282.16</v>
      </c>
      <c r="F42" s="3">
        <f t="shared" si="5"/>
        <v>0.41001743315850858</v>
      </c>
      <c r="H42" s="5">
        <f>+'Rev, Exp, Cha Unrestricted'!H40+'Rev, Exp, Cha Federal Restrict'!H40+'Rev, Exp, Cha State Restr '!H40+'Rev, Exp, Cha Local Restr '!H40</f>
        <v>229383.87</v>
      </c>
      <c r="J42" s="3">
        <f t="shared" si="6"/>
        <v>0.72490781500896295</v>
      </c>
      <c r="K42" s="16" t="s">
        <v>146</v>
      </c>
    </row>
    <row r="43" spans="1:11" x14ac:dyDescent="0.25">
      <c r="A43" s="4" t="s">
        <v>59</v>
      </c>
      <c r="B43" s="6">
        <f>+'Rev, Exp, Cha Unrestricted'!B41+'Rev, Exp, Cha Federal Restrict'!B41+'Rev, Exp, Cha State Restr '!B41+'Rev, Exp, Cha Local Restr '!B41</f>
        <v>3467277</v>
      </c>
      <c r="C43" s="6"/>
      <c r="D43" s="5">
        <f>+'Rev, Exp, Cha Unrestricted'!D41+'Rev, Exp, Cha Federal Restrict'!D41+'Rev, Exp, Cha State Restr '!D41+'Rev, Exp, Cha Local Restr '!D41</f>
        <v>3048405.94</v>
      </c>
      <c r="F43" s="3">
        <f t="shared" si="5"/>
        <v>0.87919307860318052</v>
      </c>
      <c r="H43" s="5">
        <f>+'Rev, Exp, Cha Unrestricted'!H41+'Rev, Exp, Cha Federal Restrict'!H41+'Rev, Exp, Cha State Restr '!H41+'Rev, Exp, Cha Local Restr '!H41</f>
        <v>3236415.28</v>
      </c>
      <c r="J43" s="3">
        <f t="shared" si="6"/>
        <v>0.94190815339371414</v>
      </c>
      <c r="K43" s="16" t="s">
        <v>151</v>
      </c>
    </row>
    <row r="44" spans="1:11" x14ac:dyDescent="0.25">
      <c r="A44" s="4" t="s">
        <v>60</v>
      </c>
      <c r="B44" s="6">
        <f>+'Rev, Exp, Cha Unrestricted'!B42+'Rev, Exp, Cha Federal Restrict'!B42+'Rev, Exp, Cha State Restr '!B42+'Rev, Exp, Cha Local Restr '!B42</f>
        <v>3119694</v>
      </c>
      <c r="C44" s="6"/>
      <c r="D44" s="5">
        <f>+'Rev, Exp, Cha Unrestricted'!D42+'Rev, Exp, Cha Federal Restrict'!D42+'Rev, Exp, Cha State Restr '!D42+'Rev, Exp, Cha Local Restr '!D42</f>
        <v>3190428.97</v>
      </c>
      <c r="F44" s="3">
        <f t="shared" si="5"/>
        <v>1.0226736885091936</v>
      </c>
      <c r="H44" s="5">
        <f>+'Rev, Exp, Cha Unrestricted'!H42+'Rev, Exp, Cha Federal Restrict'!H42+'Rev, Exp, Cha State Restr '!H42+'Rev, Exp, Cha Local Restr '!H42</f>
        <v>3347403.85</v>
      </c>
      <c r="J44" s="3">
        <f t="shared" si="6"/>
        <v>0.95310548501639569</v>
      </c>
      <c r="K44" s="16" t="s">
        <v>155</v>
      </c>
    </row>
    <row r="45" spans="1:11" x14ac:dyDescent="0.25">
      <c r="A45" s="4" t="s">
        <v>61</v>
      </c>
      <c r="B45" s="6">
        <f>+'Rev, Exp, Cha Unrestricted'!B43+'Rev, Exp, Cha Federal Restrict'!B43+'Rev, Exp, Cha State Restr '!B43+'Rev, Exp, Cha Local Restr '!B43</f>
        <v>8856132</v>
      </c>
      <c r="C45" s="6"/>
      <c r="D45" s="5">
        <f>+'Rev, Exp, Cha Unrestricted'!D43+'Rev, Exp, Cha Federal Restrict'!D43+'Rev, Exp, Cha State Restr '!D43+'Rev, Exp, Cha Local Restr '!D43</f>
        <v>8784498.9299999997</v>
      </c>
      <c r="F45" s="3">
        <f t="shared" si="5"/>
        <v>0.99191147218672893</v>
      </c>
      <c r="H45" s="5">
        <f>+'Rev, Exp, Cha Unrestricted'!H43+'Rev, Exp, Cha Federal Restrict'!H43+'Rev, Exp, Cha State Restr '!H43+'Rev, Exp, Cha Local Restr '!H43</f>
        <v>6328747.2899999991</v>
      </c>
      <c r="J45" s="3">
        <f t="shared" si="6"/>
        <v>1.3880312370633463</v>
      </c>
      <c r="K45" s="16" t="s">
        <v>160</v>
      </c>
    </row>
    <row r="46" spans="1:11" x14ac:dyDescent="0.25">
      <c r="A46" s="4" t="s">
        <v>62</v>
      </c>
      <c r="B46" s="6">
        <f>+'Rev, Exp, Cha Unrestricted'!B44+'Rev, Exp, Cha Federal Restrict'!B44+'Rev, Exp, Cha State Restr '!B44+'Rev, Exp, Cha Local Restr '!B44</f>
        <v>4874689</v>
      </c>
      <c r="C46" s="6"/>
      <c r="D46" s="5">
        <f>+'Rev, Exp, Cha Unrestricted'!D44+'Rev, Exp, Cha Federal Restrict'!D44+'Rev, Exp, Cha State Restr '!D44+'Rev, Exp, Cha Local Restr '!D44</f>
        <v>4622331.05</v>
      </c>
      <c r="F46" s="3">
        <f t="shared" si="5"/>
        <v>0.94823096406765639</v>
      </c>
      <c r="H46" s="5">
        <f>+'Rev, Exp, Cha Unrestricted'!H44+'Rev, Exp, Cha Federal Restrict'!H44+'Rev, Exp, Cha State Restr '!H44+'Rev, Exp, Cha Local Restr '!H44</f>
        <v>3922116.78</v>
      </c>
      <c r="J46" s="3">
        <f t="shared" si="6"/>
        <v>1.1785296841671298</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7706390</v>
      </c>
      <c r="F47" s="3">
        <f t="shared" si="5"/>
        <v>2.0727112035855608</v>
      </c>
      <c r="H47" s="5">
        <f>+'Rev, Exp, Cha Unrestricted'!H45+'Rev, Exp, Cha Federal Restrict'!H45+'Rev, Exp, Cha State Restr '!H45+'Rev, Exp, Cha Local Restr '!H45</f>
        <v>6523274.6500000004</v>
      </c>
      <c r="J47" s="3">
        <f t="shared" si="6"/>
        <v>1.1813683178279177</v>
      </c>
      <c r="K47" s="16" t="s">
        <v>183</v>
      </c>
    </row>
    <row r="48" spans="1:11" x14ac:dyDescent="0.25">
      <c r="A48" s="4" t="s">
        <v>64</v>
      </c>
      <c r="B48" s="6">
        <f>+'Rev, Exp, Cha Auxiliary'!B30</f>
        <v>3024121</v>
      </c>
      <c r="C48" s="6"/>
      <c r="D48" s="5">
        <f>+'Rev, Exp, Cha Auxiliary'!D30</f>
        <v>2446700.3200000003</v>
      </c>
      <c r="F48" s="3">
        <f t="shared" si="5"/>
        <v>0.80906164799622782</v>
      </c>
      <c r="H48" s="5">
        <f>+'Rev, Exp, Cha Auxiliary'!H30</f>
        <v>2521858.98</v>
      </c>
      <c r="J48" s="3">
        <f t="shared" si="6"/>
        <v>0.97019712022121096</v>
      </c>
      <c r="K48" s="16" t="s">
        <v>189</v>
      </c>
    </row>
    <row r="49" spans="1:11" x14ac:dyDescent="0.25">
      <c r="A49" s="4" t="s">
        <v>76</v>
      </c>
      <c r="B49" s="6">
        <f>+'Rev, Exp, Cha Unrestricted'!B47+'Rev, Exp, Cha Federal Restrict'!B47+'Rev, Exp, Cha State Restr '!B47+'Rev, Exp, Cha Local Restr '!B47</f>
        <v>1567980</v>
      </c>
      <c r="C49" s="6"/>
      <c r="D49" s="5">
        <f>+'Rev, Exp, Cha Unrestricted'!D47+'Rev, Exp, Cha Federal Restrict'!D47+'Rev, Exp, Cha State Restr '!D47+'Rev, Exp, Cha Local Restr '!D47</f>
        <v>1291139.1000000001</v>
      </c>
      <c r="F49" s="3">
        <f t="shared" si="5"/>
        <v>0.82344105154402492</v>
      </c>
      <c r="H49" s="5">
        <f>+'Rev, Exp, Cha Unrestricted'!H47+'Rev, Exp, Cha Federal Restrict'!H47+'Rev, Exp, Cha State Restr '!H47+'Rev, Exp, Cha Local Restr '!H47</f>
        <v>1106362.81</v>
      </c>
      <c r="J49" s="3">
        <f t="shared" si="6"/>
        <v>1.167012383577861</v>
      </c>
      <c r="K49" s="16" t="s">
        <v>191</v>
      </c>
    </row>
    <row r="50" spans="1:11" x14ac:dyDescent="0.25">
      <c r="A50" s="4" t="s">
        <v>50</v>
      </c>
      <c r="B50" s="6">
        <f>+'Rev, Exp, Cha Debt Service'!B40</f>
        <v>3049760</v>
      </c>
      <c r="C50" s="6"/>
      <c r="D50" s="5">
        <f>+'Rev, Exp, Cha Debt Service'!D40</f>
        <v>450075.9</v>
      </c>
      <c r="F50" s="3">
        <f t="shared" si="5"/>
        <v>0.14757748150674144</v>
      </c>
      <c r="H50" s="5">
        <f>+'Rev, Exp, Cha Debt Service'!H40</f>
        <v>284793.75</v>
      </c>
      <c r="J50" s="3">
        <f t="shared" si="6"/>
        <v>1.5803573638817565</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45434165</v>
      </c>
      <c r="C52" s="6"/>
      <c r="D52" s="8">
        <f>SUM(D41:D51)</f>
        <v>45168362.630000003</v>
      </c>
      <c r="F52" s="3">
        <f t="shared" si="5"/>
        <v>0.99414972477209618</v>
      </c>
      <c r="H52" s="8">
        <f>SUM(H41:H51)</f>
        <v>40115373.530000001</v>
      </c>
      <c r="J52" s="3">
        <f t="shared" ref="J52" si="7">+(D52-H52)/H52+1</f>
        <v>1.1259614121808228</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317479.09999999998</v>
      </c>
      <c r="F55" s="3">
        <f t="shared" ref="F55:F56" si="8">+(D55-B55)/B55+1</f>
        <v>0.95027447529423026</v>
      </c>
      <c r="H55" s="5">
        <f>+'Rev, Exp, Cha Unrestricted'!H53+'Rev, Exp, Cha Federal Restrict'!H52+'Rev, Exp, Cha State Restr '!H52+'Rev, Exp, Cha Local Restr '!H52+'Rev, Exp, Cha Auxiliary'!H33+'Rev, Exp, Cha Debt Service'!H43</f>
        <v>286187.06</v>
      </c>
      <c r="J55" s="3">
        <f t="shared" ref="J55:J56" si="9">+(D55-H55)/H55+1</f>
        <v>1.1093412120030863</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-759472.4</v>
      </c>
      <c r="F56" s="3">
        <f t="shared" si="8"/>
        <v>1.7182633484162897</v>
      </c>
      <c r="H56" s="8">
        <f>+'Rev, Exp, Cha Unrestricted'!H54+'Rev, Exp, Cha Federal Restrict'!H53+'Rev, Exp, Cha State Restr '!H53+'Rev, Exp, Cha Local Restr '!H53+'Rev, Exp, Cha Debt Service'!H44</f>
        <v>-728182.72</v>
      </c>
      <c r="J56" s="3">
        <f t="shared" si="9"/>
        <v>1.0429695447867811</v>
      </c>
    </row>
    <row r="57" spans="1:11" ht="16.5" x14ac:dyDescent="0.35">
      <c r="A57" s="56" t="s">
        <v>55</v>
      </c>
      <c r="B57" s="26">
        <f>SUM(B55:B56)</f>
        <v>-107908</v>
      </c>
      <c r="C57" s="6"/>
      <c r="D57" s="8">
        <f>SUM(D55:D56)</f>
        <v>-441993.30000000005</v>
      </c>
      <c r="F57" s="3"/>
      <c r="G57" s="26">
        <f>SUM(G55:G56)</f>
        <v>0</v>
      </c>
      <c r="H57" s="8">
        <f>SUM(H55:H56)</f>
        <v>-441995.66</v>
      </c>
      <c r="J57" s="3"/>
    </row>
    <row r="58" spans="1:11" ht="3.95" customHeight="1" x14ac:dyDescent="0.25">
      <c r="B58" s="6"/>
      <c r="C58" s="6"/>
      <c r="D58" s="6"/>
      <c r="F58" s="3"/>
      <c r="H58" s="6"/>
      <c r="J58" s="3"/>
    </row>
    <row r="59" spans="1:11" ht="16.5" x14ac:dyDescent="0.35">
      <c r="A59" s="4" t="s">
        <v>397</v>
      </c>
      <c r="B59" s="34">
        <f>+B38-B52+B57</f>
        <v>0</v>
      </c>
      <c r="C59" s="6"/>
      <c r="D59" s="9">
        <f>+D38-D52+D57</f>
        <v>5886555.7799999909</v>
      </c>
      <c r="F59" s="3"/>
      <c r="H59" s="9">
        <f>+H38-H52+H57</f>
        <v>6178302.9099999927</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1"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G78" sqref="G78"/>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July 31, 2024</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3" zoomScaleNormal="100" workbookViewId="0">
      <selection activeCell="B49" sqref="B49"/>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July 31,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45107</v>
      </c>
      <c r="K7" s="11"/>
    </row>
    <row r="8" spans="1:11" s="1" customFormat="1" x14ac:dyDescent="0.25">
      <c r="A8" s="4"/>
      <c r="B8" s="22" t="s">
        <v>33</v>
      </c>
      <c r="C8" s="80"/>
      <c r="D8" s="28" t="s">
        <v>35</v>
      </c>
      <c r="E8" s="87"/>
      <c r="F8" s="22" t="s">
        <v>33</v>
      </c>
      <c r="G8" s="87"/>
      <c r="H8" s="24">
        <f>+'Revenues, Expenditures, Changes'!H9</f>
        <v>45107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5334445.84</v>
      </c>
      <c r="E10" s="4"/>
      <c r="F10" s="3">
        <f>+(D10-B10)/B10+1</f>
        <v>0.9999999700062574</v>
      </c>
      <c r="G10" s="4"/>
      <c r="H10" s="32">
        <v>4617390</v>
      </c>
      <c r="I10" s="4"/>
      <c r="J10" s="3">
        <f t="shared" ref="J10" si="0">+(D10-H10)/H10+1</f>
        <v>1.1552946231529067</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1472404</v>
      </c>
      <c r="C12" s="6"/>
      <c r="D12" s="5">
        <v>1472407</v>
      </c>
      <c r="E12" s="4"/>
      <c r="F12" s="3">
        <f>+(D12-B12)/B12+1</f>
        <v>1.0000020374842775</v>
      </c>
      <c r="G12" s="4"/>
      <c r="H12" s="5">
        <v>1365937.4</v>
      </c>
      <c r="I12" s="4"/>
      <c r="J12" s="3">
        <f t="shared" ref="J12:J13" si="1">+(D12-H12)/H12+1</f>
        <v>1.0779461782069955</v>
      </c>
      <c r="K12" s="11"/>
    </row>
    <row r="13" spans="1:11" s="1" customFormat="1" x14ac:dyDescent="0.25">
      <c r="A13" s="10" t="s">
        <v>94</v>
      </c>
      <c r="B13" s="6">
        <v>577665</v>
      </c>
      <c r="C13" s="6"/>
      <c r="D13" s="5">
        <v>577664.97</v>
      </c>
      <c r="E13" s="4"/>
      <c r="F13" s="3">
        <f>+(D13-B13)/B13+1</f>
        <v>0.99999994806678605</v>
      </c>
      <c r="G13" s="4"/>
      <c r="H13" s="5">
        <v>475315.62</v>
      </c>
      <c r="I13" s="4"/>
      <c r="J13" s="3">
        <f t="shared" si="1"/>
        <v>1.2153292374443743</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13998598.33</v>
      </c>
      <c r="E15" s="4"/>
      <c r="F15" s="3">
        <f>+(D15-B15)/B15+1</f>
        <v>1.0187026577848246</v>
      </c>
      <c r="G15" s="4"/>
      <c r="H15" s="5">
        <v>13665934.359999999</v>
      </c>
      <c r="I15" s="4"/>
      <c r="J15" s="3">
        <f t="shared" ref="J15" si="2">+(D15-H15)/H15+1</f>
        <v>1.0243425704556071</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4523191.45</v>
      </c>
      <c r="E18" s="4"/>
      <c r="F18" s="3">
        <f>+(D18-B18)/B18+1</f>
        <v>1.0577800958205774</v>
      </c>
      <c r="G18" s="4"/>
      <c r="H18" s="5">
        <v>4535184.84</v>
      </c>
      <c r="I18" s="4"/>
      <c r="J18" s="3">
        <f t="shared" ref="J18:J22" si="3">+(D18-H18)/H18+1</f>
        <v>0.99735547934138891</v>
      </c>
      <c r="K18" s="11"/>
    </row>
    <row r="19" spans="1:11" s="1" customFormat="1" x14ac:dyDescent="0.25">
      <c r="A19" s="10" t="s">
        <v>43</v>
      </c>
      <c r="B19" s="6">
        <f>515915+196345+215000+35000+122400+496200+10955</f>
        <v>1591815</v>
      </c>
      <c r="C19" s="6"/>
      <c r="D19" s="5">
        <v>1360365.24</v>
      </c>
      <c r="E19" s="4"/>
      <c r="F19" s="3">
        <f>+(D19-B19)/B19+1</f>
        <v>0.85460008857813252</v>
      </c>
      <c r="G19" s="4"/>
      <c r="H19" s="5">
        <v>1198033.57</v>
      </c>
      <c r="I19" s="4"/>
      <c r="J19" s="3">
        <f t="shared" si="3"/>
        <v>1.1354984318177328</v>
      </c>
      <c r="K19" s="11"/>
    </row>
    <row r="20" spans="1:11" s="1" customFormat="1" x14ac:dyDescent="0.25">
      <c r="A20" s="10" t="s">
        <v>75</v>
      </c>
      <c r="B20" s="6">
        <v>-220000</v>
      </c>
      <c r="C20" s="6"/>
      <c r="D20" s="5">
        <v>-127075</v>
      </c>
      <c r="E20" s="4"/>
      <c r="F20" s="3">
        <f>+(D20-B20)/B20+1</f>
        <v>0.57761363636363638</v>
      </c>
      <c r="G20" s="4"/>
      <c r="H20" s="5">
        <v>-101891</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5420309.9900000002</v>
      </c>
      <c r="E22" s="4"/>
      <c r="F22" s="3">
        <f>+(D22-B22)/B22+1</f>
        <v>1.0872471973894722</v>
      </c>
      <c r="G22" s="4"/>
      <c r="H22" s="5">
        <v>5285029.43</v>
      </c>
      <c r="I22" s="4"/>
      <c r="J22" s="3">
        <f t="shared" si="3"/>
        <v>1.0255969359852743</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-198378.1</v>
      </c>
      <c r="E25" s="4"/>
      <c r="F25" s="3">
        <f>+(D25-B25)/B25+1</f>
        <v>0.66126033333333334</v>
      </c>
      <c r="G25" s="4"/>
      <c r="H25" s="5">
        <v>-235351.55</v>
      </c>
      <c r="I25" s="4"/>
      <c r="J25" s="3">
        <f t="shared" ref="J25:J30" si="4">+(D25-H25)/H25+1</f>
        <v>0.84290118335740738</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496362.82</v>
      </c>
      <c r="E27" s="4"/>
      <c r="F27" s="3">
        <f>+(D27-B27)/B27+1</f>
        <v>1.1459057350367761</v>
      </c>
      <c r="G27" s="4"/>
      <c r="H27" s="5">
        <v>472200.7</v>
      </c>
      <c r="I27" s="4"/>
      <c r="J27" s="3">
        <f t="shared" si="4"/>
        <v>1.051169174463316</v>
      </c>
      <c r="K27" s="11"/>
    </row>
    <row r="28" spans="1:11" s="1" customFormat="1" x14ac:dyDescent="0.25">
      <c r="A28" s="4" t="s">
        <v>47</v>
      </c>
      <c r="B28" s="6">
        <v>800000</v>
      </c>
      <c r="C28" s="6"/>
      <c r="D28" s="5">
        <v>709826.35</v>
      </c>
      <c r="E28" s="4"/>
      <c r="F28" s="3">
        <f>+(D28-B28)/B28+1</f>
        <v>0.88728293749999998</v>
      </c>
      <c r="G28" s="4"/>
      <c r="H28" s="5">
        <v>525252.37</v>
      </c>
      <c r="I28" s="4"/>
      <c r="J28" s="3">
        <f t="shared" si="4"/>
        <v>1.3514005657889749</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136309.70000000001</v>
      </c>
      <c r="E30" s="4"/>
      <c r="F30" s="3">
        <f>+(D30-B30)/B30+1</f>
        <v>1.1972744839701361</v>
      </c>
      <c r="G30" s="4"/>
      <c r="H30" s="5">
        <v>133562.37</v>
      </c>
      <c r="I30" s="4"/>
      <c r="J30" s="3">
        <f t="shared" si="4"/>
        <v>1.0205696409849572</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828122</v>
      </c>
      <c r="C35" s="6"/>
      <c r="D35" s="33">
        <v>724936.37</v>
      </c>
      <c r="E35" s="4"/>
      <c r="F35" s="3">
        <f>+(D35-B35)/B35+1</f>
        <v>0.87539803314004461</v>
      </c>
      <c r="G35" s="4"/>
      <c r="H35" s="33">
        <v>198459.41</v>
      </c>
      <c r="I35" s="4"/>
      <c r="J35" s="3">
        <f t="shared" ref="J35:J36" si="8">+(D35-H35)/H35+1</f>
        <v>3.6528193346941822</v>
      </c>
      <c r="K35" s="38"/>
    </row>
    <row r="36" spans="1:11" s="1" customFormat="1" ht="16.5" x14ac:dyDescent="0.35">
      <c r="A36" s="80" t="s">
        <v>55</v>
      </c>
      <c r="B36" s="26">
        <f>SUM(B10:B35)</f>
        <v>33634527</v>
      </c>
      <c r="C36" s="6"/>
      <c r="D36" s="8">
        <f>SUM(D10:D35)</f>
        <v>34428964.960000001</v>
      </c>
      <c r="E36" s="4"/>
      <c r="F36" s="3">
        <f>+(D36-B36)/B36+1</f>
        <v>1.0236197155381432</v>
      </c>
      <c r="G36" s="4"/>
      <c r="H36" s="8">
        <f>SUM(H10:H35)</f>
        <v>32135057.52</v>
      </c>
      <c r="I36" s="4"/>
      <c r="J36" s="3">
        <f t="shared" si="8"/>
        <v>1.0713833307618117</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12444133</v>
      </c>
      <c r="C39" s="6"/>
      <c r="D39" s="90">
        <v>11304945.34</v>
      </c>
      <c r="E39" s="4"/>
      <c r="F39" s="3">
        <f t="shared" ref="F39:F49" si="9">+(D39-B39)/B39+1</f>
        <v>0.90845584340829533</v>
      </c>
      <c r="G39" s="4"/>
      <c r="H39" s="90">
        <v>10274769.810000001</v>
      </c>
      <c r="I39" s="4"/>
      <c r="J39" s="3">
        <f t="shared" ref="J39:J50" si="10">+(D39-H39)/H39+1</f>
        <v>1.1002626383899494</v>
      </c>
      <c r="K39" s="11"/>
    </row>
    <row r="40" spans="1:11" s="1" customFormat="1" x14ac:dyDescent="0.25">
      <c r="A40" s="4" t="s">
        <v>58</v>
      </c>
      <c r="B40" s="6">
        <v>405549</v>
      </c>
      <c r="C40" s="6"/>
      <c r="D40" s="90">
        <v>166282.16</v>
      </c>
      <c r="E40" s="4"/>
      <c r="F40" s="3">
        <f t="shared" si="9"/>
        <v>0.41001743315850858</v>
      </c>
      <c r="G40" s="4"/>
      <c r="H40" s="90">
        <v>229383.87</v>
      </c>
      <c r="I40" s="4"/>
      <c r="J40" s="3">
        <f t="shared" si="10"/>
        <v>0.72490781500896295</v>
      </c>
      <c r="K40" s="11"/>
    </row>
    <row r="41" spans="1:11" s="1" customFormat="1" x14ac:dyDescent="0.25">
      <c r="A41" s="4" t="s">
        <v>59</v>
      </c>
      <c r="B41" s="6">
        <v>3457236</v>
      </c>
      <c r="C41" s="6"/>
      <c r="D41" s="90">
        <v>3007155.96</v>
      </c>
      <c r="E41" s="4"/>
      <c r="F41" s="3">
        <f t="shared" si="9"/>
        <v>0.86981506613954029</v>
      </c>
      <c r="G41" s="4"/>
      <c r="H41" s="90">
        <v>3039456.28</v>
      </c>
      <c r="I41" s="4"/>
      <c r="J41" s="3">
        <f t="shared" si="10"/>
        <v>0.98937299404089474</v>
      </c>
      <c r="K41" s="11"/>
    </row>
    <row r="42" spans="1:11" s="1" customFormat="1" x14ac:dyDescent="0.25">
      <c r="A42" s="4" t="s">
        <v>60</v>
      </c>
      <c r="B42" s="6">
        <v>2691416</v>
      </c>
      <c r="C42" s="6"/>
      <c r="D42" s="90">
        <v>2290430.33</v>
      </c>
      <c r="E42" s="4"/>
      <c r="F42" s="3">
        <f t="shared" si="9"/>
        <v>0.85101312097423809</v>
      </c>
      <c r="G42" s="4"/>
      <c r="H42" s="90">
        <v>2350891.6</v>
      </c>
      <c r="I42" s="4"/>
      <c r="J42" s="3">
        <f t="shared" si="10"/>
        <v>0.97428155768645397</v>
      </c>
      <c r="K42" s="11"/>
    </row>
    <row r="43" spans="1:11" s="1" customFormat="1" x14ac:dyDescent="0.25">
      <c r="A43" s="4" t="s">
        <v>61</v>
      </c>
      <c r="B43" s="6">
        <v>7008252</v>
      </c>
      <c r="C43" s="6"/>
      <c r="D43" s="90">
        <v>6532287.1900000004</v>
      </c>
      <c r="E43" s="4"/>
      <c r="F43" s="3">
        <f t="shared" si="9"/>
        <v>0.9320850891206538</v>
      </c>
      <c r="G43" s="4"/>
      <c r="H43" s="90">
        <v>5838992.3099999996</v>
      </c>
      <c r="I43" s="4"/>
      <c r="J43" s="3">
        <f t="shared" si="10"/>
        <v>1.1187353644588034</v>
      </c>
      <c r="K43" s="11"/>
    </row>
    <row r="44" spans="1:11" s="1" customFormat="1" x14ac:dyDescent="0.25">
      <c r="A44" s="4" t="s">
        <v>62</v>
      </c>
      <c r="B44" s="6">
        <v>4874689</v>
      </c>
      <c r="C44" s="6"/>
      <c r="D44" s="90">
        <v>4622331.05</v>
      </c>
      <c r="E44" s="4"/>
      <c r="F44" s="3">
        <f t="shared" si="9"/>
        <v>0.94823096406765639</v>
      </c>
      <c r="G44" s="4"/>
      <c r="H44" s="90">
        <v>3922116.78</v>
      </c>
      <c r="I44" s="4"/>
      <c r="J44" s="3">
        <f t="shared" si="10"/>
        <v>1.1785296841671298</v>
      </c>
      <c r="K44" s="11"/>
    </row>
    <row r="45" spans="1:11" s="1" customFormat="1" x14ac:dyDescent="0.25">
      <c r="A45" s="4" t="s">
        <v>63</v>
      </c>
      <c r="B45" s="6">
        <v>158000</v>
      </c>
      <c r="C45" s="6"/>
      <c r="D45" s="90">
        <v>200687.15</v>
      </c>
      <c r="E45" s="4"/>
      <c r="F45" s="3">
        <f t="shared" si="9"/>
        <v>1.2701718354430378</v>
      </c>
      <c r="G45" s="4"/>
      <c r="H45" s="90">
        <v>137556.49</v>
      </c>
      <c r="I45" s="4"/>
      <c r="J45" s="3">
        <f t="shared" si="10"/>
        <v>1.4589435220395637</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1567980</v>
      </c>
      <c r="C47" s="6"/>
      <c r="D47" s="5">
        <v>1291139.1000000001</v>
      </c>
      <c r="E47" s="4"/>
      <c r="F47" s="3">
        <f t="shared" si="9"/>
        <v>0.82344105154402492</v>
      </c>
      <c r="G47" s="4"/>
      <c r="H47" s="5">
        <v>1106362.81</v>
      </c>
      <c r="I47" s="4"/>
      <c r="J47" s="3">
        <f t="shared" si="10"/>
        <v>1.167012383577861</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32616306</v>
      </c>
      <c r="C50" s="6"/>
      <c r="D50" s="8">
        <f>SUM(D39:D49)</f>
        <v>29415258.280000001</v>
      </c>
      <c r="E50" s="4"/>
      <c r="F50" s="3">
        <f>+(D50-B50)/B50+1</f>
        <v>0.90185744148954217</v>
      </c>
      <c r="G50" s="4"/>
      <c r="H50" s="8">
        <f>SUM(H39:H49)</f>
        <v>26899529.949999996</v>
      </c>
      <c r="I50" s="4"/>
      <c r="J50" s="3">
        <f t="shared" si="10"/>
        <v>1.0935231334776541</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-759472.4</v>
      </c>
      <c r="E54" s="4"/>
      <c r="F54" s="3">
        <f>+(D54-B54)/B54+1</f>
        <v>1.7182633484162897</v>
      </c>
      <c r="G54" s="4"/>
      <c r="H54" s="33">
        <v>-728182.72</v>
      </c>
      <c r="I54" s="4"/>
      <c r="J54" s="3">
        <f t="shared" ref="J54:J55" si="12">+(D54-H54)/H54+1</f>
        <v>1.0429695447867811</v>
      </c>
      <c r="K54" s="11"/>
    </row>
    <row r="55" spans="1:11" s="1" customFormat="1" ht="16.5" x14ac:dyDescent="0.35">
      <c r="A55" s="80" t="s">
        <v>55</v>
      </c>
      <c r="B55" s="26">
        <f>SUM(B53:B54)</f>
        <v>-442000</v>
      </c>
      <c r="C55" s="6"/>
      <c r="D55" s="8">
        <f>SUM(D53:D54)</f>
        <v>-759472.4</v>
      </c>
      <c r="E55" s="4"/>
      <c r="F55" s="3">
        <f>+(D55-B55)/B55+1</f>
        <v>1.7182633484162897</v>
      </c>
      <c r="G55" s="26">
        <f>SUM(G53:G54)</f>
        <v>0</v>
      </c>
      <c r="H55" s="8">
        <f>SUM(H53:H54)</f>
        <v>-728182.72</v>
      </c>
      <c r="I55" s="4"/>
      <c r="J55" s="3">
        <f t="shared" si="12"/>
        <v>1.0429695447867811</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4254234.2799999993</v>
      </c>
      <c r="E57" s="4"/>
      <c r="F57" s="4"/>
      <c r="G57" s="4"/>
      <c r="H57" s="9">
        <f>+H36-H50+H55</f>
        <v>4507344.8500000043</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M59" sqref="M59"/>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July 31,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45107</v>
      </c>
      <c r="K7" s="11"/>
    </row>
    <row r="8" spans="1:11" s="1" customFormat="1" x14ac:dyDescent="0.25">
      <c r="A8" s="4"/>
      <c r="B8" s="22" t="s">
        <v>33</v>
      </c>
      <c r="C8" s="80"/>
      <c r="D8" s="28" t="s">
        <v>35</v>
      </c>
      <c r="E8" s="87"/>
      <c r="F8" s="22" t="s">
        <v>33</v>
      </c>
      <c r="G8" s="87"/>
      <c r="H8" s="24">
        <f>+'Revenues, Expenditures, Changes'!H9</f>
        <v>45107</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6757030.75</v>
      </c>
      <c r="E31" s="4"/>
      <c r="F31" s="3">
        <f t="shared" si="0"/>
        <v>2.0400701989882117</v>
      </c>
      <c r="G31" s="4"/>
      <c r="H31" s="7">
        <v>5924781.0599999996</v>
      </c>
      <c r="I31" s="4"/>
      <c r="J31" s="3">
        <f t="shared" ref="J31:J33" si="1">+D31/H31</f>
        <v>1.1404692733067845</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5069661.3600000003</v>
      </c>
      <c r="E33" s="4"/>
      <c r="F33" s="3">
        <f>+(D33-B33)/B33+1</f>
        <v>1.6717629802764957</v>
      </c>
      <c r="G33" s="4"/>
      <c r="H33" s="8">
        <v>3827559.41</v>
      </c>
      <c r="I33" s="4"/>
      <c r="J33" s="3">
        <f t="shared" si="1"/>
        <v>1.324515394001422</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11826692.109999999</v>
      </c>
      <c r="E36" s="4"/>
      <c r="F36" s="3">
        <f>+(D36-B36)/B36+1</f>
        <v>1.8640328763625589</v>
      </c>
      <c r="G36" s="4"/>
      <c r="H36" s="8">
        <f>SUM(H10:H35)</f>
        <v>9752340.4699999988</v>
      </c>
      <c r="I36" s="4"/>
      <c r="J36" s="3">
        <f t="shared" ref="J36" si="3">+D36/H36</f>
        <v>1.212702955396306</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1907001.14</v>
      </c>
      <c r="E39" s="4"/>
      <c r="F39" s="3">
        <f t="shared" ref="F39:F47" si="4">+(D39-B39)/B39+1</f>
        <v>2.4718673151155826</v>
      </c>
      <c r="G39" s="4"/>
      <c r="H39" s="81">
        <v>2202091.56</v>
      </c>
      <c r="I39" s="4"/>
      <c r="J39" s="3">
        <f t="shared" ref="J39:J49" si="5">+D39/H39</f>
        <v>0.86599539030974704</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34634.01</v>
      </c>
      <c r="E41" s="4"/>
      <c r="F41" s="3">
        <f t="shared" si="4"/>
        <v>4.0155373913043482</v>
      </c>
      <c r="G41" s="4"/>
      <c r="H41" s="81">
        <v>177782.5</v>
      </c>
      <c r="I41" s="4"/>
      <c r="J41" s="3">
        <f t="shared" si="5"/>
        <v>0.19481113157931743</v>
      </c>
      <c r="K41" s="11"/>
    </row>
    <row r="42" spans="1:11" s="1" customFormat="1" x14ac:dyDescent="0.25">
      <c r="A42" s="4" t="s">
        <v>60</v>
      </c>
      <c r="B42" s="6">
        <v>428278</v>
      </c>
      <c r="C42" s="6"/>
      <c r="D42" s="81">
        <v>899998.64</v>
      </c>
      <c r="E42" s="4"/>
      <c r="F42" s="3">
        <f t="shared" si="4"/>
        <v>2.101435609580693</v>
      </c>
      <c r="G42" s="4"/>
      <c r="H42" s="81">
        <v>996512.25</v>
      </c>
      <c r="I42" s="4"/>
      <c r="J42" s="3">
        <f t="shared" si="5"/>
        <v>0.9031485965175039</v>
      </c>
      <c r="K42" s="11"/>
    </row>
    <row r="43" spans="1:11" s="1" customFormat="1" x14ac:dyDescent="0.25">
      <c r="A43" s="4" t="s">
        <v>61</v>
      </c>
      <c r="B43" s="6">
        <v>1824139</v>
      </c>
      <c r="C43" s="6"/>
      <c r="D43" s="81">
        <v>2228027.5699999998</v>
      </c>
      <c r="E43" s="4"/>
      <c r="F43" s="3">
        <f t="shared" si="4"/>
        <v>1.2214132640111306</v>
      </c>
      <c r="G43" s="4"/>
      <c r="H43" s="81">
        <v>489754.98</v>
      </c>
      <c r="I43" s="4"/>
      <c r="J43" s="3">
        <f t="shared" si="5"/>
        <v>4.5492698614315259</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6757030.75</v>
      </c>
      <c r="E45" s="4"/>
      <c r="F45" s="3">
        <f t="shared" si="4"/>
        <v>2.0400701989882117</v>
      </c>
      <c r="G45" s="4"/>
      <c r="H45" s="82">
        <v>5886199.1799999997</v>
      </c>
      <c r="I45" s="4"/>
      <c r="J45" s="3">
        <f t="shared" si="5"/>
        <v>1.1479446317343274</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11826692.109999999</v>
      </c>
      <c r="E49" s="4"/>
      <c r="F49" s="3">
        <f>+(D49-B49)/B49+1</f>
        <v>1.8640328763625589</v>
      </c>
      <c r="G49" s="4"/>
      <c r="H49" s="83">
        <f>SUM(H39:H48)</f>
        <v>9752340.4699999988</v>
      </c>
      <c r="I49" s="4"/>
      <c r="J49" s="3">
        <f t="shared" si="5"/>
        <v>1.212702955396306</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D54" sqref="D5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July 31,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45107</v>
      </c>
      <c r="K7" s="11"/>
      <c r="L7" s="11"/>
    </row>
    <row r="8" spans="1:12" s="1" customFormat="1" x14ac:dyDescent="0.25">
      <c r="A8" s="4"/>
      <c r="B8" s="22" t="s">
        <v>33</v>
      </c>
      <c r="C8" s="80"/>
      <c r="D8" s="28" t="s">
        <v>35</v>
      </c>
      <c r="E8" s="87"/>
      <c r="F8" s="22" t="s">
        <v>33</v>
      </c>
      <c r="G8" s="87"/>
      <c r="H8" s="24">
        <f>+'Revenues, Expenditures, Changes'!H9</f>
        <v>45107</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6.7</v>
      </c>
      <c r="E28" s="4"/>
      <c r="F28" s="3">
        <f t="shared" si="0"/>
        <v>2.2333333333333334</v>
      </c>
      <c r="G28" s="4"/>
      <c r="H28" s="7">
        <v>4.34</v>
      </c>
      <c r="I28" s="4"/>
      <c r="J28" s="3">
        <f t="shared" ref="J28:J33" si="1">+D28/H28</f>
        <v>1.5437788018433181</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589999.61</v>
      </c>
      <c r="E34" s="4"/>
      <c r="F34" s="3">
        <f t="shared" ref="F34:F36" si="2">+(D34-B34)/B34+1</f>
        <v>2.690168158419092</v>
      </c>
      <c r="G34" s="4"/>
      <c r="H34" s="98">
        <v>277642.75</v>
      </c>
      <c r="I34" s="4"/>
      <c r="J34" s="3">
        <f>+D34/H34</f>
        <v>2.1250315738480476</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590006.30999999994</v>
      </c>
      <c r="E36" s="4"/>
      <c r="F36" s="3">
        <f t="shared" si="2"/>
        <v>2.6901619095385736</v>
      </c>
      <c r="G36" s="4"/>
      <c r="H36" s="8">
        <f>SUM(H10:H35)</f>
        <v>277647.09000000003</v>
      </c>
      <c r="I36" s="4"/>
      <c r="J36" s="3">
        <f>+D36/H36</f>
        <v>2.1250224880801016</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134629.14000000001</v>
      </c>
      <c r="E39" s="4"/>
      <c r="F39" s="3">
        <f>+(D39-B39)/B39+1</f>
        <v>1.6457726489248561</v>
      </c>
      <c r="G39" s="4"/>
      <c r="H39" s="5">
        <v>64315.17</v>
      </c>
      <c r="I39" s="4"/>
      <c r="J39" s="3">
        <f>+D39/H39</f>
        <v>2.0932719294685844</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24184.17</v>
      </c>
      <c r="E43" s="4"/>
      <c r="F43" s="3">
        <f t="shared" si="4"/>
        <v>1.0186668632323828</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748672.1</v>
      </c>
      <c r="E45" s="4"/>
      <c r="F45" s="3">
        <f t="shared" si="6"/>
        <v>3.0204467700550293</v>
      </c>
      <c r="G45" s="4"/>
      <c r="H45" s="8">
        <v>499518.98</v>
      </c>
      <c r="I45" s="4"/>
      <c r="J45" s="3">
        <f>+D45/H45</f>
        <v>1.4987860921721132</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907485.40999999992</v>
      </c>
      <c r="E49" s="4"/>
      <c r="F49" s="3">
        <f>+(D49-B49)/B49+1</f>
        <v>2.5677832388260722</v>
      </c>
      <c r="G49" s="4"/>
      <c r="H49" s="8">
        <f>SUM(H39:H48)</f>
        <v>563834.15</v>
      </c>
      <c r="I49" s="4"/>
      <c r="J49" s="3">
        <f>+D49/H49</f>
        <v>1.6094899714747677</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317479.09999999998</v>
      </c>
      <c r="E52" s="4"/>
      <c r="F52" s="3">
        <f>+(D52-B52)/B52+1</f>
        <v>2.3676214837574201</v>
      </c>
      <c r="G52" s="4"/>
      <c r="H52" s="8">
        <v>286187.06</v>
      </c>
      <c r="I52" s="4"/>
      <c r="J52" s="3">
        <f>+D52/H52</f>
        <v>1.1093412120030863</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317479.09999999998</v>
      </c>
      <c r="E54" s="4"/>
      <c r="F54" s="3"/>
      <c r="G54" s="26">
        <f>SUM(G52:G53)</f>
        <v>0</v>
      </c>
      <c r="H54" s="8">
        <f>SUM(H52:H53)</f>
        <v>286187.06</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D64" sqref="D64"/>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July 31,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45107</v>
      </c>
      <c r="K7" s="11"/>
      <c r="L7" s="11"/>
    </row>
    <row r="8" spans="1:12" s="1" customFormat="1" x14ac:dyDescent="0.25">
      <c r="A8" s="4"/>
      <c r="B8" s="22" t="s">
        <v>33</v>
      </c>
      <c r="C8" s="56"/>
      <c r="D8" s="28" t="s">
        <v>35</v>
      </c>
      <c r="E8" s="87"/>
      <c r="F8" s="22" t="s">
        <v>33</v>
      </c>
      <c r="G8" s="87"/>
      <c r="H8" s="24">
        <f>+'Revenues, Expenditures, Changes'!H9</f>
        <v>45107</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122150.61</v>
      </c>
      <c r="E35" s="4"/>
      <c r="F35" s="3">
        <f>+(D35-B35)/B35+1+0.0008</f>
        <v>2.6628452861439218</v>
      </c>
      <c r="G35" s="4"/>
      <c r="H35" s="85">
        <v>93016.23</v>
      </c>
      <c r="I35" s="4"/>
      <c r="J35" s="3">
        <f t="shared" ref="J35:J36" si="1">+D35/H35</f>
        <v>1.3132182415907419</v>
      </c>
      <c r="K35" s="11"/>
      <c r="L35" s="11"/>
    </row>
    <row r="36" spans="1:12" s="1" customFormat="1" ht="16.5" x14ac:dyDescent="0.35">
      <c r="A36" s="56" t="s">
        <v>55</v>
      </c>
      <c r="B36" s="26">
        <f>SUM(B10:B35)</f>
        <v>45886</v>
      </c>
      <c r="C36" s="6"/>
      <c r="D36" s="8">
        <f>SUM(D10:D35)</f>
        <v>122150.61</v>
      </c>
      <c r="E36" s="4"/>
      <c r="F36" s="3">
        <f>+(D36-B36)/B36+1+0.0008</f>
        <v>2.6628452861439218</v>
      </c>
      <c r="G36" s="4"/>
      <c r="H36" s="8">
        <f>SUM(H10:H35)</f>
        <v>93016.23</v>
      </c>
      <c r="I36" s="4"/>
      <c r="J36" s="3">
        <f t="shared" si="1"/>
        <v>1.3132182415907419</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115534.64</v>
      </c>
      <c r="E39" s="4"/>
      <c r="F39" s="3">
        <f>+(D39-B39)/B39+1</f>
        <v>2.5980355295704971</v>
      </c>
      <c r="G39" s="4"/>
      <c r="H39" s="5">
        <v>73839.73</v>
      </c>
      <c r="I39" s="4"/>
      <c r="J39" s="3">
        <f t="shared" ref="J39:J49" si="2">+D39/H39</f>
        <v>1.5646676931240133</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6615.97</v>
      </c>
      <c r="E41" s="4"/>
      <c r="F41" s="3">
        <f t="shared" ref="F41" si="3">+(D41-B41)/B41+1</f>
        <v>4.6722951977401133</v>
      </c>
      <c r="G41" s="4"/>
      <c r="H41" s="8">
        <v>19176.5</v>
      </c>
      <c r="I41" s="4"/>
      <c r="J41" s="3">
        <f t="shared" si="2"/>
        <v>0.34500404140484447</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122150.61</v>
      </c>
      <c r="E49" s="4"/>
      <c r="F49" s="3">
        <f>+(D49-B49)/B49+1+0.0008</f>
        <v>2.6628452861439218</v>
      </c>
      <c r="G49" s="4"/>
      <c r="H49" s="8">
        <f>SUM(H39:H48)</f>
        <v>93016.23</v>
      </c>
      <c r="I49" s="4"/>
      <c r="J49" s="3">
        <f t="shared" si="2"/>
        <v>1.3132182415907419</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f>D36-D49</f>
        <v>0</v>
      </c>
      <c r="E56" s="4"/>
      <c r="F56" s="4"/>
      <c r="G56" s="4"/>
      <c r="H56" s="9">
        <f>H36-H49</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tabSelected="1" zoomScaleNormal="100" workbookViewId="0">
      <selection activeCell="N31" sqref="N31"/>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July 31,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45107</v>
      </c>
      <c r="K7" s="11"/>
    </row>
    <row r="8" spans="1:11" s="1" customFormat="1" x14ac:dyDescent="0.25">
      <c r="A8" s="4"/>
      <c r="B8" s="22" t="s">
        <v>33</v>
      </c>
      <c r="C8" s="56"/>
      <c r="D8" s="23" t="s">
        <v>35</v>
      </c>
      <c r="E8" s="87"/>
      <c r="F8" s="22" t="s">
        <v>33</v>
      </c>
      <c r="G8" s="87"/>
      <c r="H8" s="24">
        <f>+'Revenues, Expenditures, Changes'!H9</f>
        <v>45107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1621553.64</v>
      </c>
      <c r="E10" s="4"/>
      <c r="F10" s="3">
        <f>+D10/B10</f>
        <v>0.6624264226479839</v>
      </c>
      <c r="G10" s="4"/>
      <c r="H10" s="5">
        <v>1809520.11</v>
      </c>
      <c r="I10" s="4"/>
      <c r="J10" s="3">
        <f>+D10/H10</f>
        <v>0.8961235805221307</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605.84</v>
      </c>
      <c r="E12" s="4"/>
      <c r="F12" s="3">
        <v>0</v>
      </c>
      <c r="G12" s="4"/>
      <c r="H12" s="8">
        <v>333.73</v>
      </c>
      <c r="I12" s="4"/>
      <c r="J12" s="3">
        <f>+D12/H12</f>
        <v>1.8153597219309021</v>
      </c>
      <c r="K12" s="11"/>
    </row>
    <row r="13" spans="1:11" s="1" customFormat="1" ht="16.5" x14ac:dyDescent="0.35">
      <c r="A13" s="56" t="s">
        <v>55</v>
      </c>
      <c r="B13" s="26">
        <f>SUM(B10:B12)</f>
        <v>2447900</v>
      </c>
      <c r="C13" s="6"/>
      <c r="D13" s="8">
        <f>SUM(D10:D12)</f>
        <v>1622159.48</v>
      </c>
      <c r="E13" s="4"/>
      <c r="F13" s="3">
        <f>+D13/B13</f>
        <v>0.66267391641815432</v>
      </c>
      <c r="G13" s="4"/>
      <c r="H13" s="8">
        <f>SUM(H10:H12)</f>
        <v>1809853.84</v>
      </c>
      <c r="I13" s="4"/>
      <c r="J13" s="3">
        <f>+D13/H13</f>
        <v>0.89629308408683428</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499901.63</v>
      </c>
      <c r="E16" s="4"/>
      <c r="F16" s="3">
        <f t="shared" ref="F16:F30" si="1">+D16/B16</f>
        <v>0.88080011769805167</v>
      </c>
      <c r="G16" s="4"/>
      <c r="H16" s="95">
        <v>499894.16</v>
      </c>
      <c r="I16" s="4"/>
      <c r="J16" s="3">
        <f t="shared" ref="J16:J30" si="2">+D16/H16</f>
        <v>1.0000149431631689</v>
      </c>
      <c r="K16" s="11"/>
    </row>
    <row r="17" spans="1:11" s="1" customFormat="1" x14ac:dyDescent="0.25">
      <c r="A17" s="4" t="s">
        <v>80</v>
      </c>
      <c r="B17" s="52">
        <v>201629</v>
      </c>
      <c r="C17" s="6"/>
      <c r="D17" s="5">
        <v>164412.19</v>
      </c>
      <c r="E17" s="4"/>
      <c r="F17" s="3">
        <f t="shared" si="1"/>
        <v>0.81541935931835208</v>
      </c>
      <c r="G17" s="4"/>
      <c r="H17" s="95">
        <v>163356.57999999999</v>
      </c>
      <c r="I17" s="4"/>
      <c r="J17" s="3">
        <f t="shared" si="2"/>
        <v>1.0064619986534979</v>
      </c>
      <c r="K17" s="11"/>
    </row>
    <row r="18" spans="1:11" s="1" customFormat="1" x14ac:dyDescent="0.25">
      <c r="A18" s="4" t="s">
        <v>81</v>
      </c>
      <c r="B18" s="52">
        <v>192919</v>
      </c>
      <c r="C18" s="6"/>
      <c r="D18" s="5">
        <v>180110.99</v>
      </c>
      <c r="E18" s="4"/>
      <c r="F18" s="3">
        <f t="shared" si="1"/>
        <v>0.93360939046957525</v>
      </c>
      <c r="G18" s="4"/>
      <c r="H18" s="95">
        <v>177787.21</v>
      </c>
      <c r="I18" s="4"/>
      <c r="J18" s="3">
        <f t="shared" si="2"/>
        <v>1.0130705690246222</v>
      </c>
      <c r="K18" s="11"/>
    </row>
    <row r="19" spans="1:11" s="1" customFormat="1" x14ac:dyDescent="0.25">
      <c r="A19" s="4" t="s">
        <v>82</v>
      </c>
      <c r="B19" s="52">
        <v>139323</v>
      </c>
      <c r="C19" s="6"/>
      <c r="D19" s="5">
        <v>258244.35</v>
      </c>
      <c r="E19" s="4"/>
      <c r="F19" s="3">
        <f t="shared" si="1"/>
        <v>1.8535658146896061</v>
      </c>
      <c r="G19" s="4"/>
      <c r="H19" s="95">
        <v>229931.09</v>
      </c>
      <c r="I19" s="4"/>
      <c r="J19" s="3">
        <f t="shared" si="2"/>
        <v>1.1231380236574358</v>
      </c>
      <c r="K19" s="11"/>
    </row>
    <row r="20" spans="1:11" s="1" customFormat="1" x14ac:dyDescent="0.25">
      <c r="A20" s="4" t="s">
        <v>83</v>
      </c>
      <c r="B20" s="52">
        <v>26850</v>
      </c>
      <c r="C20" s="6"/>
      <c r="D20" s="5">
        <v>20846.77</v>
      </c>
      <c r="E20" s="4"/>
      <c r="F20" s="3">
        <f t="shared" si="1"/>
        <v>0.77641601489757917</v>
      </c>
      <c r="G20" s="4"/>
      <c r="H20" s="95">
        <v>24164.21</v>
      </c>
      <c r="I20" s="4"/>
      <c r="J20" s="3">
        <f t="shared" si="2"/>
        <v>0.86271266472191732</v>
      </c>
      <c r="K20" s="11"/>
    </row>
    <row r="21" spans="1:11" s="1" customFormat="1" x14ac:dyDescent="0.25">
      <c r="A21" s="4" t="s">
        <v>88</v>
      </c>
      <c r="B21" s="52">
        <v>11815</v>
      </c>
      <c r="C21" s="6"/>
      <c r="D21" s="5">
        <v>4142.8</v>
      </c>
      <c r="E21" s="4"/>
      <c r="F21" s="3">
        <f t="shared" si="1"/>
        <v>0.35063901819720694</v>
      </c>
      <c r="G21" s="4"/>
      <c r="H21" s="95">
        <v>196.8</v>
      </c>
      <c r="I21" s="4"/>
      <c r="J21" s="3">
        <v>0</v>
      </c>
      <c r="K21" s="11"/>
    </row>
    <row r="22" spans="1:11" s="1" customFormat="1" x14ac:dyDescent="0.25">
      <c r="A22" s="4" t="s">
        <v>84</v>
      </c>
      <c r="B22" s="52">
        <v>14175</v>
      </c>
      <c r="C22" s="6"/>
      <c r="D22" s="5">
        <v>10045.200000000001</v>
      </c>
      <c r="E22" s="4"/>
      <c r="F22" s="3">
        <f t="shared" si="1"/>
        <v>0.70865608465608476</v>
      </c>
      <c r="G22" s="4"/>
      <c r="H22" s="95">
        <v>13046.73</v>
      </c>
      <c r="I22" s="4"/>
      <c r="J22" s="3">
        <f t="shared" si="2"/>
        <v>0.76994005394455167</v>
      </c>
      <c r="K22" s="11"/>
    </row>
    <row r="23" spans="1:11" s="1" customFormat="1" x14ac:dyDescent="0.25">
      <c r="A23" s="4" t="s">
        <v>85</v>
      </c>
      <c r="B23" s="52">
        <v>4000</v>
      </c>
      <c r="C23" s="6"/>
      <c r="D23" s="5">
        <v>2029.94</v>
      </c>
      <c r="E23" s="4"/>
      <c r="F23" s="3">
        <f t="shared" si="1"/>
        <v>0.50748499999999996</v>
      </c>
      <c r="G23" s="4"/>
      <c r="H23" s="95">
        <v>1830.28</v>
      </c>
      <c r="I23" s="4"/>
      <c r="J23" s="3">
        <f t="shared" si="2"/>
        <v>1.1090871342089736</v>
      </c>
      <c r="K23" s="11"/>
    </row>
    <row r="24" spans="1:11" s="1" customFormat="1" x14ac:dyDescent="0.25">
      <c r="A24" s="4" t="s">
        <v>86</v>
      </c>
      <c r="B24" s="52">
        <v>3000</v>
      </c>
      <c r="C24" s="6"/>
      <c r="D24" s="20">
        <v>2956.76</v>
      </c>
      <c r="E24" s="4"/>
      <c r="F24" s="3">
        <f t="shared" si="1"/>
        <v>0.98558666666666672</v>
      </c>
      <c r="G24" s="4"/>
      <c r="H24" s="95">
        <v>5890.93</v>
      </c>
      <c r="I24" s="4"/>
      <c r="J24" s="3">
        <f t="shared" si="2"/>
        <v>0.50191735430568685</v>
      </c>
      <c r="K24" s="11"/>
    </row>
    <row r="25" spans="1:11" s="1" customFormat="1" x14ac:dyDescent="0.25">
      <c r="A25" s="4" t="s">
        <v>87</v>
      </c>
      <c r="B25" s="52">
        <f>199300+100073</f>
        <v>299373</v>
      </c>
      <c r="C25" s="6"/>
      <c r="D25" s="5">
        <v>208880.33</v>
      </c>
      <c r="E25" s="4"/>
      <c r="F25" s="3">
        <f t="shared" si="1"/>
        <v>0.69772601403600187</v>
      </c>
      <c r="G25" s="4"/>
      <c r="H25" s="95">
        <v>207470.42</v>
      </c>
      <c r="I25" s="4"/>
      <c r="J25" s="3">
        <f t="shared" si="2"/>
        <v>1.006795715745888</v>
      </c>
      <c r="K25" s="11"/>
    </row>
    <row r="26" spans="1:11" s="1" customFormat="1" x14ac:dyDescent="0.25">
      <c r="A26" s="4" t="s">
        <v>63</v>
      </c>
      <c r="B26" s="52">
        <v>42000</v>
      </c>
      <c r="C26" s="6"/>
      <c r="D26" s="5">
        <v>44636.4</v>
      </c>
      <c r="E26" s="4"/>
      <c r="F26" s="3">
        <f t="shared" si="1"/>
        <v>1.0627714285714287</v>
      </c>
      <c r="G26" s="4"/>
      <c r="H26" s="95">
        <v>38532.03</v>
      </c>
      <c r="I26" s="4"/>
      <c r="J26" s="3">
        <f t="shared" si="2"/>
        <v>1.1584232650083581</v>
      </c>
      <c r="K26" s="11"/>
    </row>
    <row r="27" spans="1:11" s="1" customFormat="1" x14ac:dyDescent="0.25">
      <c r="A27" s="4" t="s">
        <v>64</v>
      </c>
      <c r="B27" s="52">
        <v>1514880</v>
      </c>
      <c r="C27" s="6"/>
      <c r="D27" s="5">
        <v>1041090.3</v>
      </c>
      <c r="E27" s="4"/>
      <c r="F27" s="3">
        <f t="shared" si="1"/>
        <v>0.6872427519011407</v>
      </c>
      <c r="G27" s="4"/>
      <c r="H27" s="95">
        <v>1156682.31</v>
      </c>
      <c r="I27" s="4"/>
      <c r="J27" s="3">
        <f t="shared" si="2"/>
        <v>0.90006589622694233</v>
      </c>
      <c r="K27" s="11"/>
    </row>
    <row r="28" spans="1:11" s="1" customFormat="1" ht="16.5" x14ac:dyDescent="0.35">
      <c r="A28" s="4" t="s">
        <v>89</v>
      </c>
      <c r="B28" s="53">
        <v>6603</v>
      </c>
      <c r="C28" s="6"/>
      <c r="D28" s="8">
        <v>9402.66</v>
      </c>
      <c r="E28" s="4"/>
      <c r="F28" s="3">
        <f t="shared" si="1"/>
        <v>1.4239981826442525</v>
      </c>
      <c r="G28" s="4"/>
      <c r="H28" s="96">
        <v>3076.23</v>
      </c>
      <c r="I28" s="4"/>
      <c r="J28" s="3">
        <f t="shared" si="2"/>
        <v>3.0565529885606733</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2446700.3200000003</v>
      </c>
      <c r="E30" s="4"/>
      <c r="F30" s="3">
        <f t="shared" si="1"/>
        <v>0.80906164799622782</v>
      </c>
      <c r="G30" s="4"/>
      <c r="H30" s="8">
        <f>SUM(H16:H29)</f>
        <v>2521858.98</v>
      </c>
      <c r="I30" s="4"/>
      <c r="J30" s="3">
        <f t="shared" si="2"/>
        <v>0.97019712022121096</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-824540.84000000032</v>
      </c>
      <c r="E37" s="4"/>
      <c r="F37" s="4"/>
      <c r="G37" s="4"/>
      <c r="H37" s="9">
        <f>+H13-H30+H35</f>
        <v>-712005.1399999999</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2024-06-05T15:17:38Z</cp:lastPrinted>
  <dcterms:created xsi:type="dcterms:W3CDTF">2009-11-06T16:21:47Z</dcterms:created>
  <dcterms:modified xsi:type="dcterms:W3CDTF">2024-09-05T14:12:48Z</dcterms:modified>
</cp:coreProperties>
</file>