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9AFEA5A1-4265-4F8A-A67D-5A52FDDE5069}" xr6:coauthVersionLast="47" xr6:coauthVersionMax="47" xr10:uidLastSave="{00000000-0000-0000-0000-000000000000}"/>
  <bookViews>
    <workbookView xWindow="-120" yWindow="-120" windowWidth="29040" windowHeight="15840" firstSheet="7" activeTab="9"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4"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24" l="1"/>
  <c r="H56" i="9" l="1"/>
  <c r="D38" i="11" l="1"/>
  <c r="H38" i="11"/>
  <c r="H10" i="24" l="1"/>
  <c r="H12" i="24"/>
  <c r="H13" i="24"/>
  <c r="H15" i="24"/>
  <c r="B18" i="24"/>
  <c r="H18" i="24"/>
  <c r="B19" i="24"/>
  <c r="H19" i="24" s="1"/>
  <c r="H20" i="24"/>
  <c r="H22" i="24"/>
  <c r="H25" i="24"/>
  <c r="H26" i="24"/>
  <c r="H27" i="24"/>
  <c r="H28" i="24"/>
  <c r="B30" i="24"/>
  <c r="H30" i="24"/>
  <c r="H31" i="24"/>
  <c r="H33" i="24"/>
  <c r="H34" i="24"/>
  <c r="H35" i="24"/>
  <c r="B36" i="24"/>
  <c r="B55" i="24" s="1"/>
  <c r="D36" i="24"/>
  <c r="F36" i="24"/>
  <c r="H39" i="24"/>
  <c r="H40" i="24"/>
  <c r="H41" i="24"/>
  <c r="H42" i="24"/>
  <c r="H43" i="24"/>
  <c r="H44" i="24"/>
  <c r="H45" i="24"/>
  <c r="H46" i="24"/>
  <c r="H47" i="24"/>
  <c r="B48" i="24"/>
  <c r="D48" i="24"/>
  <c r="F48" i="24"/>
  <c r="H51" i="24"/>
  <c r="H52" i="24"/>
  <c r="B53" i="24"/>
  <c r="D53" i="24"/>
  <c r="F53" i="24"/>
  <c r="H53" i="24"/>
  <c r="F55" i="24" l="1"/>
  <c r="H48" i="24"/>
  <c r="H36" i="24"/>
  <c r="D55" i="24"/>
  <c r="J28" i="6"/>
  <c r="H28" i="2"/>
  <c r="H55" i="24" l="1"/>
  <c r="J41" i="9"/>
  <c r="F41" i="9"/>
  <c r="F14" i="11" l="1"/>
  <c r="F15" i="11"/>
  <c r="F16" i="11"/>
  <c r="F17" i="11"/>
  <c r="F18" i="11"/>
  <c r="F19" i="11"/>
  <c r="F20" i="11"/>
  <c r="F21" i="11"/>
  <c r="F22" i="11"/>
  <c r="F23" i="11"/>
  <c r="F24" i="11"/>
  <c r="F25" i="11"/>
  <c r="F27" i="11"/>
  <c r="F29" i="11"/>
  <c r="F30" i="11"/>
  <c r="F31" i="11"/>
  <c r="F32" i="11"/>
  <c r="F33" i="11"/>
  <c r="J14" i="11"/>
  <c r="J15" i="11"/>
  <c r="J16" i="11"/>
  <c r="J17" i="11"/>
  <c r="J18" i="11"/>
  <c r="J19" i="11"/>
  <c r="J20" i="11"/>
  <c r="J21" i="11"/>
  <c r="J22" i="11"/>
  <c r="J23" i="11"/>
  <c r="J24" i="11"/>
  <c r="J25" i="11"/>
  <c r="J26" i="11"/>
  <c r="F39" i="9"/>
  <c r="J42" i="9"/>
  <c r="J43" i="9"/>
  <c r="J44" i="9"/>
  <c r="J45" i="9"/>
  <c r="J46" i="9"/>
  <c r="J47" i="9"/>
  <c r="J48" i="9"/>
  <c r="J39" i="9"/>
  <c r="J35" i="9"/>
  <c r="J40" i="8"/>
  <c r="J41" i="8"/>
  <c r="J42" i="8"/>
  <c r="J28" i="8"/>
  <c r="J29" i="8"/>
  <c r="J30" i="8"/>
  <c r="J31" i="8"/>
  <c r="J32" i="8"/>
  <c r="J33" i="8"/>
  <c r="F28" i="8"/>
  <c r="F29" i="8"/>
  <c r="F30" i="8"/>
  <c r="F31" i="8"/>
  <c r="F32" i="8"/>
  <c r="F33" i="8"/>
  <c r="F40" i="8"/>
  <c r="F41" i="8"/>
  <c r="F42" i="8"/>
  <c r="F43" i="8"/>
  <c r="J46" i="6"/>
  <c r="J47" i="6"/>
  <c r="F46" i="6"/>
  <c r="F47" i="6"/>
  <c r="F11" i="10" l="1"/>
  <c r="J23" i="10"/>
  <c r="J24" i="10"/>
  <c r="B13" i="2" l="1"/>
  <c r="B14" i="2"/>
  <c r="B37" i="2"/>
  <c r="B41" i="2"/>
  <c r="B43" i="2"/>
  <c r="B44" i="2"/>
  <c r="B45" i="2"/>
  <c r="B46" i="2"/>
  <c r="B51" i="2" l="1"/>
  <c r="B30" i="6" l="1"/>
  <c r="B24" i="23"/>
  <c r="B19" i="6" l="1"/>
  <c r="B18" i="6"/>
  <c r="B25" i="10"/>
  <c r="B55" i="1" l="1"/>
  <c r="D55" i="1"/>
  <c r="B53" i="1"/>
  <c r="B54" i="1"/>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A3" i="13" l="1"/>
  <c r="A3" i="2"/>
  <c r="A3" i="12"/>
  <c r="A3" i="23" l="1"/>
  <c r="A3" i="24"/>
  <c r="A3" i="11"/>
  <c r="A3" i="6"/>
  <c r="A3" i="7"/>
  <c r="A3" i="8"/>
  <c r="A3" i="9"/>
  <c r="A3" i="10"/>
  <c r="D16" i="1" l="1"/>
  <c r="H36" i="6" l="1"/>
  <c r="B16" i="1" l="1"/>
  <c r="B40" i="7" l="1"/>
  <c r="B44" i="7"/>
  <c r="B40" i="8"/>
  <c r="B41" i="8"/>
  <c r="B42" i="8"/>
  <c r="B44" i="8"/>
  <c r="H8" i="11" l="1"/>
  <c r="H8" i="9"/>
  <c r="H8" i="10"/>
  <c r="D41" i="2" l="1"/>
  <c r="F35" i="9" l="1"/>
  <c r="F41" i="7"/>
  <c r="J43" i="7" l="1"/>
  <c r="J41" i="7" l="1"/>
  <c r="H13" i="2" l="1"/>
  <c r="H14" i="2"/>
  <c r="H16" i="2"/>
  <c r="J28" i="10" l="1"/>
  <c r="J39" i="8"/>
  <c r="F38" i="11" l="1"/>
  <c r="F37" i="11"/>
  <c r="J33" i="11"/>
  <c r="J32" i="11"/>
  <c r="J31" i="11"/>
  <c r="J30" i="11"/>
  <c r="J29"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F43" i="7" l="1"/>
  <c r="F39" i="8" l="1"/>
  <c r="J13" i="11" l="1"/>
  <c r="F13" i="11"/>
  <c r="J10" i="10"/>
  <c r="F10" i="10"/>
  <c r="J48" i="8"/>
  <c r="J47" i="8"/>
  <c r="J46" i="8"/>
  <c r="J44" i="8"/>
  <c r="J31" i="7"/>
  <c r="J35" i="7"/>
  <c r="J34" i="7"/>
  <c r="F34" i="8"/>
  <c r="F44" i="8"/>
  <c r="F45" i="8"/>
  <c r="F46" i="8"/>
  <c r="F47" i="8"/>
  <c r="F48" i="8"/>
  <c r="F29" i="6"/>
  <c r="B49" i="2" l="1"/>
  <c r="B47"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F49" i="2" s="1"/>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50" i="2" s="1"/>
  <c r="J35" i="8" l="1"/>
  <c r="J32" i="7"/>
  <c r="J53" i="6"/>
  <c r="J31" i="6"/>
  <c r="H17" i="2" l="1"/>
  <c r="J17" i="2" s="1"/>
  <c r="H19" i="2"/>
  <c r="J19" i="2" s="1"/>
  <c r="H20" i="2"/>
  <c r="J20" i="2" s="1"/>
  <c r="B21" i="2"/>
  <c r="F21" i="2" s="1"/>
  <c r="H21" i="2"/>
  <c r="H23" i="2"/>
  <c r="J23" i="2" s="1"/>
  <c r="B24" i="2"/>
  <c r="D24" i="2"/>
  <c r="H24" i="2"/>
  <c r="B26" i="2"/>
  <c r="F26" i="2" s="1"/>
  <c r="H26" i="2"/>
  <c r="J26" i="2" s="1"/>
  <c r="H27" i="2"/>
  <c r="J27" i="2" s="1"/>
  <c r="J28" i="2"/>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J31" i="9"/>
  <c r="F31" i="9"/>
  <c r="F31" i="7"/>
  <c r="G57" i="2"/>
  <c r="J16" i="6"/>
  <c r="F16" i="6"/>
  <c r="B48" i="2"/>
  <c r="F48" i="2" s="1"/>
  <c r="F31" i="6"/>
  <c r="F55" i="2" l="1"/>
  <c r="B57" i="2"/>
  <c r="H45" i="11"/>
  <c r="G45" i="11"/>
  <c r="D45" i="11"/>
  <c r="B45" i="11"/>
  <c r="B40" i="11"/>
  <c r="F40" i="11" s="1"/>
  <c r="H34" i="11"/>
  <c r="D34" i="11"/>
  <c r="D47" i="11" s="1"/>
  <c r="B34"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D56" i="9" s="1"/>
  <c r="B36" i="9"/>
  <c r="B56" i="9" s="1"/>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H56" i="8" l="1"/>
  <c r="J49" i="9"/>
  <c r="J36" i="9"/>
  <c r="D56" i="8"/>
  <c r="F13" i="10"/>
  <c r="F49" i="9"/>
  <c r="F36" i="9"/>
  <c r="J36" i="7"/>
  <c r="J13" i="10"/>
  <c r="J49" i="8"/>
  <c r="F34" i="11"/>
  <c r="J34" i="11"/>
  <c r="F36" i="8"/>
  <c r="B56" i="8"/>
  <c r="F36" i="6"/>
  <c r="B50" i="2"/>
  <c r="F50" i="2" s="1"/>
  <c r="H52" i="2"/>
  <c r="F49" i="8"/>
  <c r="D31" i="2"/>
  <c r="D37" i="10"/>
  <c r="B31" i="2"/>
  <c r="B38" i="2" s="1"/>
  <c r="B37" i="10"/>
  <c r="H37" i="10"/>
  <c r="H31" i="2"/>
  <c r="H47" i="11"/>
  <c r="F49" i="7"/>
  <c r="B47" i="11"/>
  <c r="F36" i="7"/>
  <c r="D57" i="6"/>
  <c r="B52" i="2" l="1"/>
  <c r="B59" i="2" s="1"/>
  <c r="F31" i="2"/>
  <c r="J31" i="2"/>
  <c r="D38" i="2"/>
  <c r="D52" i="2"/>
  <c r="H38" i="2"/>
  <c r="F52" i="2" l="1"/>
  <c r="D59" i="2"/>
  <c r="F38" i="2"/>
  <c r="J38" i="2"/>
  <c r="J52" i="2"/>
  <c r="H59" i="2"/>
  <c r="B75" i="1" l="1"/>
  <c r="B77" i="1" s="1"/>
  <c r="D75" i="1"/>
  <c r="D77" i="1" s="1"/>
  <c r="B60" i="1"/>
  <c r="B62" i="1" s="1"/>
  <c r="B68" i="1" s="1"/>
  <c r="B80" i="1" s="1"/>
  <c r="B81" i="1" l="1"/>
  <c r="D60" i="1"/>
  <c r="D62" i="1" s="1"/>
  <c r="D68" i="1" s="1"/>
  <c r="D80" i="1" l="1"/>
  <c r="D81" i="1" s="1"/>
  <c r="D82" i="1" s="1"/>
  <c r="B82" i="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<sst xmlns="http://schemas.openxmlformats.org/spreadsheetml/2006/main" count="883" uniqueCount="404">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</sst>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165" fontId="3" fillId="0" borderId="1" xfId="1" applyNumberFormat="1" applyFont="1" applyFill="1" applyBorder="1"/>
    <xf numFmtId="43" fontId="3" fillId="0" borderId="1" xfId="1" applyFont="1" applyFill="1" applyBorder="1"/>
    <xf numFmtId="10" fontId="3" fillId="0" borderId="1" xfId="3" applyNumberFormat="1" applyFont="1" applyFill="1" applyBorder="1"/>
    <xf numFmtId="0" fontId="3" fillId="0" borderId="0" xfId="7" applyFont="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topLeftCell="A8" zoomScaleNormal="100" workbookViewId="0">
      <selection activeCell="G78" sqref="G78"/>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9" t="s">
        <v>0</v>
      </c>
      <c r="B1" s="129"/>
      <c r="C1" s="129"/>
      <c r="D1" s="129"/>
      <c r="E1" s="61"/>
    </row>
    <row r="2" spans="1:7" x14ac:dyDescent="0.25">
      <c r="A2" s="129" t="s">
        <v>281</v>
      </c>
      <c r="B2" s="129"/>
      <c r="C2" s="129"/>
      <c r="D2" s="129"/>
      <c r="E2" s="129"/>
    </row>
    <row r="3" spans="1:7" x14ac:dyDescent="0.25">
      <c r="A3" s="130" t="s">
        <v>403</v>
      </c>
      <c r="B3" s="130"/>
      <c r="C3" s="130"/>
      <c r="D3" s="130"/>
      <c r="E3" s="130"/>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-591335.11</v>
      </c>
      <c r="C8" s="5"/>
      <c r="D8" s="7">
        <v>899340.7</v>
      </c>
      <c r="E8" s="16" t="s">
        <v>95</v>
      </c>
      <c r="F8" s="45"/>
    </row>
    <row r="9" spans="1:7" x14ac:dyDescent="0.25">
      <c r="A9" s="10" t="s">
        <v>3</v>
      </c>
      <c r="B9" s="5">
        <v>1031507.2</v>
      </c>
      <c r="C9" s="5"/>
      <c r="D9" s="5">
        <v>2085351.67</v>
      </c>
      <c r="E9" s="16" t="s">
        <v>96</v>
      </c>
      <c r="F9" s="45"/>
    </row>
    <row r="10" spans="1:7" x14ac:dyDescent="0.25">
      <c r="A10" s="10" t="s">
        <v>4</v>
      </c>
      <c r="B10" s="5">
        <v>33603731.219999999</v>
      </c>
      <c r="C10" s="5"/>
      <c r="D10" s="5">
        <v>24807634.77</v>
      </c>
      <c r="E10" s="16" t="s">
        <v>97</v>
      </c>
      <c r="F10" s="46"/>
    </row>
    <row r="11" spans="1:7" x14ac:dyDescent="0.25">
      <c r="A11" s="10" t="s">
        <v>5</v>
      </c>
      <c r="B11" s="5">
        <v>2315.42</v>
      </c>
      <c r="C11" s="5"/>
      <c r="D11" s="5">
        <v>111.41</v>
      </c>
      <c r="E11" s="16" t="s">
        <v>97</v>
      </c>
      <c r="F11" s="46"/>
      <c r="G11" s="14"/>
    </row>
    <row r="12" spans="1:7" x14ac:dyDescent="0.25">
      <c r="A12" s="10" t="s">
        <v>6</v>
      </c>
      <c r="B12" s="5">
        <v>4162832.57</v>
      </c>
      <c r="C12" s="5"/>
      <c r="D12" s="5">
        <v>2550265.77</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16068.04</v>
      </c>
      <c r="C15" s="5"/>
      <c r="D15" s="8">
        <v>39925.54</v>
      </c>
      <c r="E15" s="56" t="s">
        <v>101</v>
      </c>
    </row>
    <row r="16" spans="1:7" ht="16.5" x14ac:dyDescent="0.35">
      <c r="A16" s="30" t="s">
        <v>8</v>
      </c>
      <c r="B16" s="8">
        <f>SUM(B8:B15)</f>
        <v>38562052.930000007</v>
      </c>
      <c r="C16" s="5"/>
      <c r="D16" s="8">
        <f>SUM(D8:D15)</f>
        <v>30756956.030000001</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105041078.29000001</v>
      </c>
      <c r="C28" s="5"/>
      <c r="D28" s="8">
        <f>+D16+D22+D26</f>
        <v>94999142.030000001</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589130.82999999996</v>
      </c>
      <c r="C32" s="5"/>
      <c r="D32" s="5">
        <v>466930.12</v>
      </c>
      <c r="E32" s="16" t="s">
        <v>109</v>
      </c>
    </row>
    <row r="33" spans="1:5" x14ac:dyDescent="0.25">
      <c r="A33" s="10" t="s">
        <v>17</v>
      </c>
      <c r="B33" s="5">
        <v>146318.15</v>
      </c>
      <c r="C33" s="5"/>
      <c r="D33" s="5">
        <v>395010.24</v>
      </c>
      <c r="E33" s="16" t="s">
        <v>193</v>
      </c>
    </row>
    <row r="34" spans="1:5" x14ac:dyDescent="0.25">
      <c r="A34" s="10" t="s">
        <v>18</v>
      </c>
      <c r="B34" s="5">
        <v>265374.15999999997</v>
      </c>
      <c r="C34" s="5"/>
      <c r="D34" s="5">
        <v>223381.9</v>
      </c>
      <c r="E34" s="56" t="s">
        <v>260</v>
      </c>
    </row>
    <row r="35" spans="1:5" ht="16.5" x14ac:dyDescent="0.35">
      <c r="A35" s="10" t="s">
        <v>19</v>
      </c>
      <c r="B35" s="8">
        <v>1740517.75</v>
      </c>
      <c r="C35" s="5"/>
      <c r="D35" s="8">
        <v>2336753.41</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2741340.8899999997</v>
      </c>
      <c r="C41" s="5"/>
      <c r="D41" s="8">
        <f>SUM(D32:D35)</f>
        <v>3422075.67</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401</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402</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59992729.899999999</v>
      </c>
      <c r="C62" s="5"/>
      <c r="D62" s="8">
        <f>+D41+D60</f>
        <v>54333396.670000002</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73284319.900000006</v>
      </c>
      <c r="C68" s="5"/>
      <c r="D68" s="8">
        <f>+D62+D66</f>
        <v>64537534.670000002</v>
      </c>
    </row>
    <row r="69" spans="1:8" ht="7.5" customHeight="1" x14ac:dyDescent="0.25">
      <c r="B69" s="5"/>
      <c r="C69" s="5"/>
      <c r="D69" s="5"/>
    </row>
    <row r="70" spans="1:8" x14ac:dyDescent="0.25">
      <c r="A70" s="29" t="s">
        <v>282</v>
      </c>
      <c r="B70" s="5"/>
      <c r="C70" s="5"/>
      <c r="D70" s="5"/>
    </row>
    <row r="71" spans="1:8" x14ac:dyDescent="0.25">
      <c r="A71" s="4" t="s">
        <v>29</v>
      </c>
      <c r="B71" s="5">
        <v>25720033.93</v>
      </c>
      <c r="C71" s="5"/>
      <c r="D71" s="5">
        <v>24786631.32</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f>'Revenues, Expenditures, Changes'!D59</f>
        <v>6036724.4600000028</v>
      </c>
      <c r="C75" s="5"/>
      <c r="D75" s="8">
        <f>'Revenues, Expenditures, Changes'!H59</f>
        <v>5674976.04</v>
      </c>
    </row>
    <row r="76" spans="1:8" ht="7.5" customHeight="1" x14ac:dyDescent="0.35">
      <c r="B76" s="8"/>
      <c r="C76" s="5"/>
      <c r="D76" s="8"/>
    </row>
    <row r="77" spans="1:8" ht="16.5" x14ac:dyDescent="0.35">
      <c r="A77" s="4" t="s">
        <v>283</v>
      </c>
      <c r="B77" s="9">
        <f>SUM(B71:B76)</f>
        <v>31756758.390000001</v>
      </c>
      <c r="C77" s="5"/>
      <c r="D77" s="9">
        <f>SUM(D71:D76)</f>
        <v>30461607.359999999</v>
      </c>
      <c r="F77" s="46"/>
      <c r="G77" s="14"/>
      <c r="H77" s="15"/>
    </row>
    <row r="78" spans="1:8" x14ac:dyDescent="0.25">
      <c r="B78" s="5"/>
      <c r="C78" s="5"/>
      <c r="D78" s="5"/>
      <c r="H78" s="15"/>
    </row>
    <row r="79" spans="1:8" x14ac:dyDescent="0.25">
      <c r="B79" s="5"/>
      <c r="C79" s="5"/>
      <c r="D79" s="5"/>
    </row>
    <row r="80" spans="1:8" x14ac:dyDescent="0.25">
      <c r="A80" s="92" t="s">
        <v>359</v>
      </c>
      <c r="B80" s="5">
        <f>+B28-B68</f>
        <v>31756758.390000001</v>
      </c>
      <c r="C80" s="5"/>
      <c r="D80" s="5">
        <f>+D28-D68</f>
        <v>30461607.359999999</v>
      </c>
    </row>
    <row r="81" spans="1:4" ht="16.5" x14ac:dyDescent="0.35">
      <c r="A81" s="92" t="s">
        <v>360</v>
      </c>
      <c r="B81" s="83">
        <f>+B77-B80</f>
        <v>0</v>
      </c>
      <c r="C81" s="83"/>
      <c r="D81" s="83">
        <f>+D77-D80</f>
        <v>0</v>
      </c>
    </row>
    <row r="82" spans="1:4" ht="16.5" x14ac:dyDescent="0.35">
      <c r="B82" s="62">
        <f>SUM(B80:B81)</f>
        <v>31756758.390000001</v>
      </c>
      <c r="C82" s="62"/>
      <c r="D82" s="62">
        <f>SUM(D80:D81)</f>
        <v>30461607.359999999</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tabSelected="1" zoomScaleNormal="100" workbookViewId="0">
      <selection activeCell="H38" sqref="H38"/>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June 30, 2024</v>
      </c>
      <c r="B3" s="130"/>
      <c r="C3" s="130"/>
      <c r="D3" s="130"/>
      <c r="E3" s="130"/>
      <c r="F3" s="130"/>
      <c r="G3" s="130"/>
      <c r="H3" s="130"/>
      <c r="I3" s="130"/>
      <c r="J3" s="130"/>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45107</v>
      </c>
      <c r="K7" s="11"/>
      <c r="L7" s="11"/>
    </row>
    <row r="8" spans="1:12" s="1" customFormat="1" x14ac:dyDescent="0.25">
      <c r="A8" s="4"/>
      <c r="B8" s="22" t="s">
        <v>33</v>
      </c>
      <c r="C8" s="56"/>
      <c r="D8" s="28" t="s">
        <v>35</v>
      </c>
      <c r="E8" s="87"/>
      <c r="F8" s="22" t="s">
        <v>33</v>
      </c>
      <c r="G8" s="87"/>
      <c r="H8" s="37">
        <f>+'Revenues, Expenditures, Changes'!H9</f>
        <v>45107</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2896617.29</v>
      </c>
      <c r="E13" s="4"/>
      <c r="F13" s="3">
        <f>+D13/B13</f>
        <v>1.0164425390208298</v>
      </c>
      <c r="G13" s="4"/>
      <c r="H13" s="7">
        <v>2647104</v>
      </c>
      <c r="I13" s="4"/>
      <c r="J13" s="3">
        <f>+D13/H13</f>
        <v>1.094258967535843</v>
      </c>
      <c r="K13" s="11"/>
      <c r="L13" s="11"/>
    </row>
    <row r="14" spans="1:12" s="1" customFormat="1" hidden="1" x14ac:dyDescent="0.25">
      <c r="A14" s="4" t="s">
        <v>41</v>
      </c>
      <c r="B14" s="6"/>
      <c r="C14" s="6"/>
      <c r="D14" s="5"/>
      <c r="E14" s="4"/>
      <c r="F14" s="3" t="e">
        <f t="shared" ref="F14:F33" si="0">+D14/B14</f>
        <v>#DIV/0!</v>
      </c>
      <c r="G14" s="4"/>
      <c r="H14" s="5"/>
      <c r="I14" s="4"/>
      <c r="J14" s="3" t="e">
        <f t="shared" ref="J14:J26" si="1">+D14/H14</f>
        <v>#DIV/0!</v>
      </c>
      <c r="K14" s="11"/>
      <c r="L14" s="11"/>
    </row>
    <row r="15" spans="1:12" s="1" customFormat="1" hidden="1" x14ac:dyDescent="0.25">
      <c r="A15" s="10" t="s">
        <v>42</v>
      </c>
      <c r="B15" s="6">
        <v>0</v>
      </c>
      <c r="C15" s="6"/>
      <c r="D15" s="5">
        <v>0</v>
      </c>
      <c r="E15" s="4"/>
      <c r="F15" s="3" t="e">
        <f t="shared" si="0"/>
        <v>#DIV/0!</v>
      </c>
      <c r="G15" s="4"/>
      <c r="H15" s="5">
        <v>0</v>
      </c>
      <c r="I15" s="4"/>
      <c r="J15" s="3" t="e">
        <f t="shared" si="1"/>
        <v>#DIV/0!</v>
      </c>
      <c r="K15" s="11"/>
      <c r="L15" s="11"/>
    </row>
    <row r="16" spans="1:12" s="1" customFormat="1" hidden="1" x14ac:dyDescent="0.25">
      <c r="A16" s="10" t="s">
        <v>43</v>
      </c>
      <c r="B16" s="6">
        <v>0</v>
      </c>
      <c r="C16" s="6"/>
      <c r="D16" s="5">
        <v>0</v>
      </c>
      <c r="E16" s="4"/>
      <c r="F16" s="3" t="e">
        <f t="shared" si="0"/>
        <v>#DIV/0!</v>
      </c>
      <c r="G16" s="4"/>
      <c r="H16" s="5">
        <v>0</v>
      </c>
      <c r="I16" s="4"/>
      <c r="J16" s="3" t="e">
        <f t="shared" si="1"/>
        <v>#DIV/0!</v>
      </c>
      <c r="K16" s="11"/>
      <c r="L16" s="11"/>
    </row>
    <row r="17" spans="1:12" s="1" customFormat="1" hidden="1" x14ac:dyDescent="0.25">
      <c r="A17" s="4" t="s">
        <v>44</v>
      </c>
      <c r="B17" s="6"/>
      <c r="C17" s="6"/>
      <c r="D17" s="5"/>
      <c r="E17" s="4"/>
      <c r="F17" s="3" t="e">
        <f t="shared" si="0"/>
        <v>#DIV/0!</v>
      </c>
      <c r="G17" s="4"/>
      <c r="H17" s="5"/>
      <c r="I17" s="4"/>
      <c r="J17" s="3" t="e">
        <f t="shared" si="1"/>
        <v>#DIV/0!</v>
      </c>
      <c r="K17" s="11"/>
      <c r="L17" s="11"/>
    </row>
    <row r="18" spans="1:12" s="1" customFormat="1" hidden="1" x14ac:dyDescent="0.25">
      <c r="A18" s="10" t="s">
        <v>42</v>
      </c>
      <c r="B18" s="6">
        <v>0</v>
      </c>
      <c r="C18" s="6"/>
      <c r="D18" s="5">
        <v>0</v>
      </c>
      <c r="E18" s="4"/>
      <c r="F18" s="3" t="e">
        <f t="shared" si="0"/>
        <v>#DIV/0!</v>
      </c>
      <c r="G18" s="4"/>
      <c r="H18" s="5">
        <v>0</v>
      </c>
      <c r="I18" s="4"/>
      <c r="J18" s="3" t="e">
        <f t="shared" si="1"/>
        <v>#DIV/0!</v>
      </c>
      <c r="K18" s="11"/>
      <c r="L18" s="11"/>
    </row>
    <row r="19" spans="1:12" s="1" customFormat="1" hidden="1" x14ac:dyDescent="0.25">
      <c r="A19" s="10" t="s">
        <v>43</v>
      </c>
      <c r="B19" s="6">
        <v>0</v>
      </c>
      <c r="C19" s="6"/>
      <c r="D19" s="5">
        <v>0</v>
      </c>
      <c r="E19" s="4"/>
      <c r="F19" s="3" t="e">
        <f t="shared" si="0"/>
        <v>#DIV/0!</v>
      </c>
      <c r="G19" s="4"/>
      <c r="H19" s="5">
        <v>0</v>
      </c>
      <c r="I19" s="4"/>
      <c r="J19" s="3" t="e">
        <f t="shared" si="1"/>
        <v>#DIV/0!</v>
      </c>
      <c r="K19" s="11"/>
      <c r="L19" s="11"/>
    </row>
    <row r="20" spans="1:12" s="1" customFormat="1" hidden="1" x14ac:dyDescent="0.25">
      <c r="A20" s="4" t="s">
        <v>45</v>
      </c>
      <c r="B20" s="6"/>
      <c r="C20" s="6"/>
      <c r="D20" s="5"/>
      <c r="E20" s="4"/>
      <c r="F20" s="3" t="e">
        <f t="shared" si="0"/>
        <v>#DIV/0!</v>
      </c>
      <c r="G20" s="4"/>
      <c r="H20" s="5"/>
      <c r="I20" s="4"/>
      <c r="J20" s="3" t="e">
        <f t="shared" si="1"/>
        <v>#DIV/0!</v>
      </c>
      <c r="K20" s="11"/>
      <c r="L20" s="11"/>
    </row>
    <row r="21" spans="1:12" s="1" customFormat="1" hidden="1" x14ac:dyDescent="0.25">
      <c r="A21" s="10" t="s">
        <v>42</v>
      </c>
      <c r="B21" s="6">
        <v>0</v>
      </c>
      <c r="C21" s="6"/>
      <c r="D21" s="5">
        <v>0</v>
      </c>
      <c r="E21" s="4"/>
      <c r="F21" s="3" t="e">
        <f t="shared" si="0"/>
        <v>#DIV/0!</v>
      </c>
      <c r="G21" s="4"/>
      <c r="H21" s="5">
        <v>0</v>
      </c>
      <c r="I21" s="4"/>
      <c r="J21" s="3" t="e">
        <f t="shared" si="1"/>
        <v>#DIV/0!</v>
      </c>
      <c r="K21" s="11"/>
      <c r="L21" s="11"/>
    </row>
    <row r="22" spans="1:12" s="1" customFormat="1" hidden="1" x14ac:dyDescent="0.25">
      <c r="A22" s="10" t="s">
        <v>43</v>
      </c>
      <c r="B22" s="6">
        <v>0</v>
      </c>
      <c r="C22" s="6"/>
      <c r="D22" s="5">
        <v>0</v>
      </c>
      <c r="E22" s="4"/>
      <c r="F22" s="3" t="e">
        <f t="shared" si="0"/>
        <v>#DIV/0!</v>
      </c>
      <c r="G22" s="4"/>
      <c r="H22" s="5">
        <v>0</v>
      </c>
      <c r="I22" s="4"/>
      <c r="J22" s="3" t="e">
        <f t="shared" si="1"/>
        <v>#DIV/0!</v>
      </c>
      <c r="K22" s="11"/>
      <c r="L22" s="11"/>
    </row>
    <row r="23" spans="1:12" s="1" customFormat="1" hidden="1" x14ac:dyDescent="0.25">
      <c r="A23" s="29" t="s">
        <v>75</v>
      </c>
      <c r="B23" s="6">
        <v>0</v>
      </c>
      <c r="C23" s="6"/>
      <c r="D23" s="5">
        <v>0</v>
      </c>
      <c r="E23" s="4"/>
      <c r="F23" s="3" t="e">
        <f t="shared" si="0"/>
        <v>#DIV/0!</v>
      </c>
      <c r="G23" s="4"/>
      <c r="H23" s="5"/>
      <c r="I23" s="4"/>
      <c r="J23" s="3" t="e">
        <f t="shared" si="1"/>
        <v>#DIV/0!</v>
      </c>
      <c r="K23" s="11"/>
      <c r="L23" s="11"/>
    </row>
    <row r="24" spans="1:12" s="1" customFormat="1" hidden="1" x14ac:dyDescent="0.25">
      <c r="A24" s="4" t="s">
        <v>46</v>
      </c>
      <c r="B24" s="6">
        <v>0</v>
      </c>
      <c r="C24" s="6"/>
      <c r="D24" s="5">
        <v>0</v>
      </c>
      <c r="E24" s="4"/>
      <c r="F24" s="3" t="e">
        <f t="shared" si="0"/>
        <v>#DIV/0!</v>
      </c>
      <c r="G24" s="4"/>
      <c r="H24" s="5">
        <v>0</v>
      </c>
      <c r="I24" s="4"/>
      <c r="J24" s="3" t="e">
        <f t="shared" si="1"/>
        <v>#DIV/0!</v>
      </c>
      <c r="K24" s="11"/>
      <c r="L24" s="11"/>
    </row>
    <row r="25" spans="1:12" s="1" customFormat="1" hidden="1" x14ac:dyDescent="0.25">
      <c r="A25" s="4" t="s">
        <v>200</v>
      </c>
      <c r="B25" s="6">
        <v>0</v>
      </c>
      <c r="C25" s="6"/>
      <c r="D25" s="5">
        <v>0</v>
      </c>
      <c r="E25" s="4"/>
      <c r="F25" s="3" t="e">
        <f t="shared" si="0"/>
        <v>#DIV/0!</v>
      </c>
      <c r="G25" s="4"/>
      <c r="H25" s="5">
        <v>0</v>
      </c>
      <c r="I25" s="4"/>
      <c r="J25" s="3" t="e">
        <f t="shared" si="1"/>
        <v>#DIV/0!</v>
      </c>
      <c r="K25" s="11"/>
      <c r="L25" s="11"/>
    </row>
    <row r="26" spans="1:12" s="1" customFormat="1" ht="16.5" x14ac:dyDescent="0.35">
      <c r="A26" s="4" t="s">
        <v>47</v>
      </c>
      <c r="B26" s="6">
        <v>0</v>
      </c>
      <c r="C26" s="26"/>
      <c r="D26" s="5">
        <v>103.49</v>
      </c>
      <c r="E26" s="35"/>
      <c r="F26" s="3">
        <v>0</v>
      </c>
      <c r="G26" s="35"/>
      <c r="H26" s="5">
        <v>3.79</v>
      </c>
      <c r="I26" s="4"/>
      <c r="J26" s="3">
        <f t="shared" si="1"/>
        <v>27.30606860158311</v>
      </c>
      <c r="K26" s="11"/>
      <c r="L26" s="11"/>
    </row>
    <row r="27" spans="1:12" s="1" customFormat="1" hidden="1" x14ac:dyDescent="0.25">
      <c r="A27" s="4" t="s">
        <v>64</v>
      </c>
      <c r="B27" s="6">
        <v>0</v>
      </c>
      <c r="C27" s="6"/>
      <c r="D27" s="5">
        <v>0</v>
      </c>
      <c r="E27" s="4"/>
      <c r="F27" s="3" t="e">
        <f t="shared" si="0"/>
        <v>#DIV/0!</v>
      </c>
      <c r="G27" s="4"/>
      <c r="H27" s="5">
        <v>0</v>
      </c>
      <c r="I27" s="4"/>
      <c r="J27" s="3" t="e">
        <f t="shared" ref="J27:J34" si="2">+D27/H27</f>
        <v>#DIV/0!</v>
      </c>
      <c r="K27" s="11"/>
      <c r="L27" s="11"/>
    </row>
    <row r="28" spans="1:12" s="1" customFormat="1" ht="16.5" x14ac:dyDescent="0.35">
      <c r="A28" s="4" t="s">
        <v>74</v>
      </c>
      <c r="B28" s="125">
        <v>0</v>
      </c>
      <c r="C28" s="6"/>
      <c r="D28" s="8">
        <v>556.83000000000004</v>
      </c>
      <c r="E28" s="4"/>
      <c r="F28" s="3">
        <v>0</v>
      </c>
      <c r="G28" s="4"/>
      <c r="H28" s="126">
        <v>0</v>
      </c>
      <c r="I28" s="4"/>
      <c r="J28" s="127">
        <v>0</v>
      </c>
      <c r="K28" s="11"/>
      <c r="L28" s="11"/>
    </row>
    <row r="29" spans="1:12" s="1" customFormat="1" hidden="1" x14ac:dyDescent="0.25">
      <c r="A29" s="4" t="s">
        <v>63</v>
      </c>
      <c r="B29" s="6">
        <v>0</v>
      </c>
      <c r="C29" s="6"/>
      <c r="D29" s="5">
        <v>0</v>
      </c>
      <c r="E29" s="4"/>
      <c r="F29" s="3" t="e">
        <f t="shared" si="0"/>
        <v>#DIV/0!</v>
      </c>
      <c r="G29" s="4"/>
      <c r="H29" s="5">
        <v>0</v>
      </c>
      <c r="I29" s="4"/>
      <c r="J29" s="3" t="e">
        <f t="shared" si="2"/>
        <v>#DIV/0!</v>
      </c>
      <c r="K29" s="11"/>
      <c r="L29" s="11"/>
    </row>
    <row r="30" spans="1:12" s="1" customFormat="1" hidden="1" x14ac:dyDescent="0.25">
      <c r="A30" s="4" t="s">
        <v>51</v>
      </c>
      <c r="B30" s="6"/>
      <c r="C30" s="6"/>
      <c r="D30" s="5"/>
      <c r="E30" s="4"/>
      <c r="F30" s="3" t="e">
        <f t="shared" si="0"/>
        <v>#DIV/0!</v>
      </c>
      <c r="G30" s="4"/>
      <c r="H30" s="5"/>
      <c r="I30" s="4"/>
      <c r="J30" s="3" t="e">
        <f t="shared" si="2"/>
        <v>#DIV/0!</v>
      </c>
      <c r="K30" s="11"/>
      <c r="L30" s="11"/>
    </row>
    <row r="31" spans="1:12" s="1" customFormat="1" hidden="1" x14ac:dyDescent="0.25">
      <c r="A31" s="10" t="s">
        <v>53</v>
      </c>
      <c r="B31" s="6">
        <v>0</v>
      </c>
      <c r="C31" s="6"/>
      <c r="D31" s="5">
        <v>0</v>
      </c>
      <c r="E31" s="4"/>
      <c r="F31" s="3" t="e">
        <f t="shared" si="0"/>
        <v>#DIV/0!</v>
      </c>
      <c r="G31" s="4"/>
      <c r="H31" s="5">
        <v>0</v>
      </c>
      <c r="I31" s="4"/>
      <c r="J31" s="3" t="e">
        <f t="shared" si="2"/>
        <v>#DIV/0!</v>
      </c>
      <c r="K31" s="11"/>
      <c r="L31" s="11"/>
    </row>
    <row r="32" spans="1:12" s="1" customFormat="1" hidden="1" x14ac:dyDescent="0.25">
      <c r="A32" s="10" t="s">
        <v>52</v>
      </c>
      <c r="B32" s="6">
        <v>0</v>
      </c>
      <c r="C32" s="6"/>
      <c r="D32" s="5">
        <v>0</v>
      </c>
      <c r="E32" s="4"/>
      <c r="F32" s="3" t="e">
        <f t="shared" si="0"/>
        <v>#DIV/0!</v>
      </c>
      <c r="G32" s="4"/>
      <c r="H32" s="5">
        <v>0</v>
      </c>
      <c r="I32" s="4"/>
      <c r="J32" s="3" t="e">
        <f t="shared" si="2"/>
        <v>#DIV/0!</v>
      </c>
      <c r="K32" s="11"/>
      <c r="L32" s="11"/>
    </row>
    <row r="33" spans="1:12" s="1" customFormat="1" hidden="1" x14ac:dyDescent="0.25">
      <c r="A33" s="10" t="s">
        <v>54</v>
      </c>
      <c r="B33" s="27">
        <v>0</v>
      </c>
      <c r="C33" s="6"/>
      <c r="D33" s="33">
        <v>0</v>
      </c>
      <c r="E33" s="4"/>
      <c r="F33" s="3" t="e">
        <f t="shared" si="0"/>
        <v>#DIV/0!</v>
      </c>
      <c r="G33" s="4"/>
      <c r="H33" s="33">
        <v>0</v>
      </c>
      <c r="I33" s="4"/>
      <c r="J33" s="3" t="e">
        <f t="shared" si="2"/>
        <v>#DIV/0!</v>
      </c>
      <c r="K33" s="11"/>
      <c r="L33" s="11"/>
    </row>
    <row r="34" spans="1:12" s="1" customFormat="1" ht="16.5" x14ac:dyDescent="0.35">
      <c r="A34" s="56" t="s">
        <v>55</v>
      </c>
      <c r="B34" s="26">
        <f>SUM(B10:B33)</f>
        <v>2849760</v>
      </c>
      <c r="C34" s="6"/>
      <c r="D34" s="8">
        <f>SUM(D10:D33)</f>
        <v>2897277.6100000003</v>
      </c>
      <c r="E34" s="4"/>
      <c r="F34" s="3">
        <f>+D34/B34</f>
        <v>1.0166742497613834</v>
      </c>
      <c r="G34" s="4"/>
      <c r="H34" s="8">
        <f>SUM(H10:H33)</f>
        <v>2647107.79</v>
      </c>
      <c r="I34" s="4"/>
      <c r="J34" s="3">
        <f t="shared" si="2"/>
        <v>1.0945068504369444</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c r="E37" s="4"/>
      <c r="F37" s="3">
        <f>+D37/B37</f>
        <v>0</v>
      </c>
      <c r="G37" s="4"/>
      <c r="H37" s="5">
        <v>0</v>
      </c>
      <c r="I37" s="4"/>
      <c r="J37" s="3">
        <v>0</v>
      </c>
      <c r="K37" s="11"/>
      <c r="L37" s="11"/>
    </row>
    <row r="38" spans="1:12" s="1" customFormat="1" ht="16.5" x14ac:dyDescent="0.35">
      <c r="A38" s="4" t="s">
        <v>78</v>
      </c>
      <c r="B38" s="26">
        <v>909760</v>
      </c>
      <c r="C38" s="6"/>
      <c r="D38" s="8">
        <f>56787.5+186706.25+206582.15</f>
        <v>450075.9</v>
      </c>
      <c r="E38" s="4"/>
      <c r="F38" s="3">
        <f>+D38/B38</f>
        <v>0.49471937653886744</v>
      </c>
      <c r="G38" s="4"/>
      <c r="H38" s="8">
        <f>74462.5+210331.25</f>
        <v>284793.75</v>
      </c>
      <c r="I38" s="4"/>
      <c r="J38" s="3">
        <v>0</v>
      </c>
      <c r="K38" s="11"/>
      <c r="L38" s="11"/>
    </row>
    <row r="39" spans="1:12" s="49" customFormat="1" ht="17.25" hidden="1" x14ac:dyDescent="0.4">
      <c r="A39" s="4" t="s">
        <v>201</v>
      </c>
      <c r="B39" s="26">
        <v>0</v>
      </c>
      <c r="C39" s="26"/>
      <c r="D39" s="8">
        <v>0</v>
      </c>
      <c r="E39" s="35"/>
      <c r="F39" s="47">
        <v>0</v>
      </c>
      <c r="G39" s="35"/>
      <c r="H39" s="8">
        <v>0</v>
      </c>
      <c r="I39" s="35"/>
      <c r="J39" s="3">
        <v>0</v>
      </c>
      <c r="K39" s="48"/>
      <c r="L39" s="48"/>
    </row>
    <row r="40" spans="1:12" s="1" customFormat="1" ht="16.5" x14ac:dyDescent="0.35">
      <c r="A40" s="56" t="s">
        <v>55</v>
      </c>
      <c r="B40" s="26">
        <f>SUM(B37:B38)</f>
        <v>3049760</v>
      </c>
      <c r="C40" s="6"/>
      <c r="D40" s="8">
        <f>SUM(D37:D39)</f>
        <v>450075.9</v>
      </c>
      <c r="E40" s="4"/>
      <c r="F40" s="3">
        <f>+D40/B40</f>
        <v>0.14757748150674152</v>
      </c>
      <c r="G40" s="4"/>
      <c r="H40" s="8">
        <f>SUM(H37:H39)</f>
        <v>284793.75</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0</v>
      </c>
      <c r="I43" s="4"/>
      <c r="J43" s="3">
        <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2447201.7100000004</v>
      </c>
      <c r="E47" s="4"/>
      <c r="F47" s="3"/>
      <c r="G47" s="4"/>
      <c r="H47" s="89">
        <f>+H34-H40+H45</f>
        <v>2362314.04</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049B-46DA-45AA-B288-ABD8D6EDB675}">
  <sheetPr>
    <tabColor rgb="FF92D050"/>
  </sheetPr>
  <dimension ref="A1:J68"/>
  <sheetViews>
    <sheetView topLeftCell="A17" zoomScaleNormal="100" workbookViewId="0">
      <selection activeCell="J37" sqref="J37"/>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June 30, 2024</v>
      </c>
      <c r="B3" s="139"/>
      <c r="C3" s="139"/>
      <c r="D3" s="139"/>
      <c r="E3" s="139"/>
      <c r="F3" s="139"/>
      <c r="G3" s="139"/>
      <c r="H3" s="139"/>
      <c r="I3" s="139"/>
    </row>
    <row r="4" spans="1:10" ht="3.95" customHeight="1" x14ac:dyDescent="0.25"/>
    <row r="5" spans="1:10" x14ac:dyDescent="0.25">
      <c r="A5" s="102" t="s">
        <v>198</v>
      </c>
    </row>
    <row r="6" spans="1:10" s="106" customFormat="1" x14ac:dyDescent="0.25">
      <c r="A6" s="102"/>
      <c r="B6" s="116"/>
      <c r="C6" s="128"/>
      <c r="D6" s="116" t="s">
        <v>218</v>
      </c>
      <c r="E6" s="116"/>
      <c r="F6" s="116" t="s">
        <v>258</v>
      </c>
      <c r="G6" s="128"/>
      <c r="H6" s="116"/>
      <c r="I6" s="128"/>
      <c r="J6" s="102"/>
    </row>
    <row r="7" spans="1:10" s="106" customFormat="1" x14ac:dyDescent="0.25">
      <c r="A7" s="102"/>
      <c r="B7" s="116" t="s">
        <v>90</v>
      </c>
      <c r="C7" s="128"/>
      <c r="D7" s="116" t="s">
        <v>33</v>
      </c>
      <c r="E7" s="116"/>
      <c r="F7" s="116" t="s">
        <v>33</v>
      </c>
      <c r="G7" s="128"/>
      <c r="H7" s="116" t="s">
        <v>32</v>
      </c>
      <c r="I7" s="128"/>
      <c r="J7" s="102"/>
    </row>
    <row r="8" spans="1:10" s="106" customFormat="1" x14ac:dyDescent="0.25">
      <c r="A8" s="102"/>
      <c r="B8" s="115" t="s">
        <v>33</v>
      </c>
      <c r="C8" s="128"/>
      <c r="D8" s="117" t="s">
        <v>219</v>
      </c>
      <c r="E8" s="116"/>
      <c r="F8" s="115" t="s">
        <v>219</v>
      </c>
      <c r="G8" s="128"/>
      <c r="H8" s="115" t="s">
        <v>33</v>
      </c>
      <c r="I8" s="128"/>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4"/>
      <c r="C11" s="103"/>
      <c r="D11" s="103"/>
      <c r="E11" s="103"/>
      <c r="F11" s="103"/>
      <c r="G11" s="102"/>
      <c r="H11" s="103"/>
      <c r="I11" s="102"/>
      <c r="J11" s="102"/>
    </row>
    <row r="12" spans="1:10" s="106" customFormat="1" x14ac:dyDescent="0.25">
      <c r="A12" s="113" t="s">
        <v>93</v>
      </c>
      <c r="B12" s="103">
        <v>0</v>
      </c>
      <c r="C12" s="103"/>
      <c r="D12" s="103">
        <v>133854</v>
      </c>
      <c r="E12" s="103"/>
      <c r="F12" s="103">
        <v>1338549</v>
      </c>
      <c r="G12" s="102"/>
      <c r="H12" s="103">
        <f>+B12+F12</f>
        <v>1338549</v>
      </c>
      <c r="I12" s="102"/>
      <c r="J12" s="102"/>
    </row>
    <row r="13" spans="1:10" s="106" customFormat="1" x14ac:dyDescent="0.25">
      <c r="A13" s="113" t="s">
        <v>94</v>
      </c>
      <c r="B13" s="103">
        <v>0</v>
      </c>
      <c r="C13" s="103"/>
      <c r="D13" s="103">
        <v>61886</v>
      </c>
      <c r="E13" s="103"/>
      <c r="F13" s="103">
        <v>518434</v>
      </c>
      <c r="G13" s="102"/>
      <c r="H13" s="103">
        <f>+B13+F13</f>
        <v>518434</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3" t="s">
        <v>49</v>
      </c>
      <c r="B15" s="103">
        <v>13741594</v>
      </c>
      <c r="C15" s="103"/>
      <c r="D15" s="103">
        <v>0</v>
      </c>
      <c r="E15" s="103"/>
      <c r="F15" s="103">
        <v>0</v>
      </c>
      <c r="G15" s="102"/>
      <c r="H15" s="103">
        <f>+B15+F15</f>
        <v>13741594</v>
      </c>
      <c r="I15" s="102"/>
      <c r="J15" s="102"/>
    </row>
    <row r="16" spans="1:10" s="106" customFormat="1" hidden="1" x14ac:dyDescent="0.25">
      <c r="A16" s="113"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3" t="s">
        <v>42</v>
      </c>
      <c r="B18" s="103">
        <f>1599976+126720+1196059+161568+69172+1122622</f>
        <v>4276117</v>
      </c>
      <c r="C18" s="103"/>
      <c r="D18" s="103">
        <v>0</v>
      </c>
      <c r="E18" s="103"/>
      <c r="F18" s="103">
        <v>0</v>
      </c>
      <c r="G18" s="102"/>
      <c r="H18" s="103">
        <f>+B18+F18</f>
        <v>4276117</v>
      </c>
      <c r="I18" s="102"/>
      <c r="J18" s="102"/>
    </row>
    <row r="19" spans="1:10" s="106" customFormat="1" x14ac:dyDescent="0.25">
      <c r="A19" s="113" t="s">
        <v>43</v>
      </c>
      <c r="B19" s="103">
        <f>515915+196345+215000+35000+122400+496200+10955</f>
        <v>1591815</v>
      </c>
      <c r="C19" s="103"/>
      <c r="D19" s="103">
        <v>0</v>
      </c>
      <c r="E19" s="103"/>
      <c r="F19" s="103">
        <v>0</v>
      </c>
      <c r="G19" s="102"/>
      <c r="H19" s="103">
        <f>+B19+F19</f>
        <v>1591815</v>
      </c>
      <c r="I19" s="102"/>
      <c r="J19" s="102"/>
    </row>
    <row r="20" spans="1:10" s="106" customFormat="1" x14ac:dyDescent="0.25">
      <c r="A20" s="113"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3" t="s">
        <v>42</v>
      </c>
      <c r="B22" s="103">
        <v>4985352</v>
      </c>
      <c r="C22" s="103"/>
      <c r="D22" s="103">
        <v>0</v>
      </c>
      <c r="E22" s="103"/>
      <c r="F22" s="103">
        <v>0</v>
      </c>
      <c r="G22" s="102"/>
      <c r="H22" s="103">
        <f>+B22+F22</f>
        <v>4985352</v>
      </c>
      <c r="I22" s="102"/>
      <c r="J22" s="102"/>
    </row>
    <row r="23" spans="1:10" s="106" customFormat="1" hidden="1" x14ac:dyDescent="0.25">
      <c r="A23" s="113"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3" t="s">
        <v>42</v>
      </c>
      <c r="B25" s="103">
        <v>-300000</v>
      </c>
      <c r="C25" s="103"/>
      <c r="D25" s="103">
        <v>0</v>
      </c>
      <c r="E25" s="103"/>
      <c r="F25" s="103">
        <v>0</v>
      </c>
      <c r="G25" s="102"/>
      <c r="H25" s="103">
        <f>+B25+F25</f>
        <v>-300000</v>
      </c>
      <c r="I25" s="102"/>
      <c r="J25" s="102"/>
    </row>
    <row r="26" spans="1:10" s="106" customFormat="1" hidden="1" x14ac:dyDescent="0.25">
      <c r="A26" s="113"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3" t="s">
        <v>53</v>
      </c>
      <c r="B33" s="103">
        <v>0</v>
      </c>
      <c r="C33" s="103"/>
      <c r="D33" s="103">
        <v>0</v>
      </c>
      <c r="E33" s="103"/>
      <c r="F33" s="103">
        <v>0</v>
      </c>
      <c r="G33" s="102"/>
      <c r="H33" s="103">
        <f>+B33+F33</f>
        <v>0</v>
      </c>
      <c r="I33" s="102"/>
      <c r="J33" s="102"/>
    </row>
    <row r="34" spans="1:10" s="106" customFormat="1" hidden="1" x14ac:dyDescent="0.25">
      <c r="A34" s="113" t="s">
        <v>52</v>
      </c>
      <c r="B34" s="103">
        <v>0</v>
      </c>
      <c r="C34" s="103"/>
      <c r="D34" s="103">
        <v>0</v>
      </c>
      <c r="E34" s="103"/>
      <c r="F34" s="103">
        <v>0</v>
      </c>
      <c r="G34" s="102"/>
      <c r="H34" s="103">
        <f>+B34+F34</f>
        <v>0</v>
      </c>
      <c r="I34" s="102"/>
      <c r="J34" s="102"/>
    </row>
    <row r="35" spans="1:10" s="106" customFormat="1" ht="16.5" x14ac:dyDescent="0.35">
      <c r="A35" s="113" t="s">
        <v>54</v>
      </c>
      <c r="B35" s="112">
        <v>99663</v>
      </c>
      <c r="C35" s="103"/>
      <c r="D35" s="112">
        <v>8924</v>
      </c>
      <c r="E35" s="103"/>
      <c r="F35" s="107">
        <f>481824+4875</f>
        <v>486699</v>
      </c>
      <c r="G35" s="102"/>
      <c r="H35" s="107">
        <f>+B35+F35</f>
        <v>586362</v>
      </c>
      <c r="I35" s="102"/>
      <c r="J35" s="102"/>
    </row>
    <row r="36" spans="1:10" s="106" customFormat="1" ht="16.5" x14ac:dyDescent="0.35">
      <c r="A36" s="128" t="s">
        <v>55</v>
      </c>
      <c r="B36" s="110">
        <f>SUM(B10:B35)</f>
        <v>30855999</v>
      </c>
      <c r="C36" s="110"/>
      <c r="D36" s="110">
        <f>SUM(D10:D35)</f>
        <v>204664</v>
      </c>
      <c r="E36" s="110"/>
      <c r="F36" s="110">
        <f>SUM(F10:F35)</f>
        <v>2343682</v>
      </c>
      <c r="G36" s="111"/>
      <c r="H36" s="110">
        <f>SUM(H10:H35)</f>
        <v>33199681</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77812</v>
      </c>
      <c r="E39" s="103"/>
      <c r="F39" s="103">
        <v>2524036</v>
      </c>
      <c r="G39" s="102"/>
      <c r="H39" s="103">
        <f t="shared" ref="H39:H47" si="0">+B39+F39</f>
        <v>12135936</v>
      </c>
      <c r="I39" s="102"/>
      <c r="J39" s="102"/>
    </row>
    <row r="40" spans="1:10" s="106" customFormat="1" x14ac:dyDescent="0.25">
      <c r="A40" s="102" t="s">
        <v>58</v>
      </c>
      <c r="B40" s="103">
        <v>513009</v>
      </c>
      <c r="C40" s="103"/>
      <c r="D40" s="103">
        <v>0</v>
      </c>
      <c r="E40" s="103"/>
      <c r="F40" s="103">
        <v>-107460</v>
      </c>
      <c r="G40" s="102"/>
      <c r="H40" s="103">
        <f t="shared" si="0"/>
        <v>405549</v>
      </c>
      <c r="I40" s="102"/>
      <c r="J40" s="102"/>
    </row>
    <row r="41" spans="1:10" s="106" customFormat="1" x14ac:dyDescent="0.25">
      <c r="A41" s="102" t="s">
        <v>59</v>
      </c>
      <c r="B41" s="103">
        <v>2883205</v>
      </c>
      <c r="C41" s="103"/>
      <c r="D41" s="103">
        <v>17622</v>
      </c>
      <c r="E41" s="103"/>
      <c r="F41" s="103">
        <v>556052</v>
      </c>
      <c r="G41" s="102"/>
      <c r="H41" s="103">
        <f t="shared" si="0"/>
        <v>3439257</v>
      </c>
      <c r="I41" s="102"/>
      <c r="J41" s="102"/>
    </row>
    <row r="42" spans="1:10" s="106" customFormat="1" x14ac:dyDescent="0.25">
      <c r="A42" s="102" t="s">
        <v>60</v>
      </c>
      <c r="B42" s="103">
        <v>2162465</v>
      </c>
      <c r="C42" s="103"/>
      <c r="D42" s="103">
        <v>18606</v>
      </c>
      <c r="E42" s="103"/>
      <c r="F42" s="103">
        <v>510449</v>
      </c>
      <c r="G42" s="102"/>
      <c r="H42" s="103">
        <f t="shared" si="0"/>
        <v>2672914</v>
      </c>
      <c r="I42" s="102"/>
      <c r="J42" s="102"/>
    </row>
    <row r="43" spans="1:10" s="106" customFormat="1" x14ac:dyDescent="0.25">
      <c r="A43" s="102" t="s">
        <v>61</v>
      </c>
      <c r="B43" s="103">
        <v>5986423</v>
      </c>
      <c r="C43" s="103"/>
      <c r="D43" s="103">
        <v>40924</v>
      </c>
      <c r="E43" s="103"/>
      <c r="F43" s="103">
        <v>978155</v>
      </c>
      <c r="G43" s="102"/>
      <c r="H43" s="103">
        <f t="shared" si="0"/>
        <v>6964578</v>
      </c>
      <c r="I43" s="102"/>
      <c r="J43" s="102"/>
    </row>
    <row r="44" spans="1:10" s="106" customFormat="1" x14ac:dyDescent="0.25">
      <c r="A44" s="102" t="s">
        <v>62</v>
      </c>
      <c r="B44" s="103">
        <v>4186776</v>
      </c>
      <c r="C44" s="103"/>
      <c r="D44" s="103">
        <v>0</v>
      </c>
      <c r="E44" s="103"/>
      <c r="F44" s="103">
        <v>685486</v>
      </c>
      <c r="G44" s="102"/>
      <c r="H44" s="103">
        <f t="shared" si="0"/>
        <v>4872262</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49700</v>
      </c>
      <c r="E46" s="103"/>
      <c r="F46" s="103">
        <v>-2997761</v>
      </c>
      <c r="G46" s="102"/>
      <c r="H46" s="103">
        <f t="shared" si="0"/>
        <v>1523912</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28" t="s">
        <v>55</v>
      </c>
      <c r="B48" s="103">
        <f>SUM(B39:B47)</f>
        <v>30032502</v>
      </c>
      <c r="C48" s="103"/>
      <c r="D48" s="103">
        <f>SUM(D39:D47)</f>
        <v>204664</v>
      </c>
      <c r="E48" s="103"/>
      <c r="F48" s="103">
        <f>SUM(F39:F47)</f>
        <v>2148957</v>
      </c>
      <c r="G48" s="102"/>
      <c r="H48" s="103">
        <f>SUM(H39:H47)</f>
        <v>32181459</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09"/>
    </row>
    <row r="53" spans="1:10" s="106" customFormat="1" ht="16.5" x14ac:dyDescent="0.35">
      <c r="A53" s="128"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0</v>
      </c>
      <c r="E55" s="105"/>
      <c r="F55" s="104">
        <f>+F36-F48+F53</f>
        <v>194725</v>
      </c>
      <c r="G55" s="105"/>
      <c r="H55" s="104">
        <f>+H36-H48+H53</f>
        <v>576222</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4" zoomScaleNormal="100" workbookViewId="0">
      <selection activeCell="J37" sqref="J37"/>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June 30, 2024</v>
      </c>
      <c r="B3" s="139"/>
      <c r="C3" s="139"/>
      <c r="D3" s="139"/>
      <c r="E3" s="139"/>
      <c r="F3" s="139"/>
      <c r="G3" s="139"/>
      <c r="H3" s="139"/>
      <c r="I3" s="139"/>
    </row>
    <row r="4" spans="1:10" ht="3.95" customHeight="1" x14ac:dyDescent="0.25"/>
    <row r="5" spans="1:10" x14ac:dyDescent="0.25">
      <c r="A5" s="102" t="s">
        <v>69</v>
      </c>
    </row>
    <row r="6" spans="1:10" s="106" customFormat="1" x14ac:dyDescent="0.25">
      <c r="A6" s="102"/>
      <c r="B6" s="116"/>
      <c r="C6" s="118"/>
      <c r="D6" s="116" t="s">
        <v>218</v>
      </c>
      <c r="E6" s="116"/>
      <c r="F6" s="116" t="s">
        <v>258</v>
      </c>
      <c r="G6" s="118"/>
      <c r="H6" s="116"/>
      <c r="I6" s="118"/>
      <c r="J6" s="102"/>
    </row>
    <row r="7" spans="1:10" s="106" customFormat="1" x14ac:dyDescent="0.25">
      <c r="A7" s="102"/>
      <c r="B7" s="118" t="s">
        <v>90</v>
      </c>
      <c r="C7" s="118"/>
      <c r="D7" s="116" t="s">
        <v>33</v>
      </c>
      <c r="E7" s="116"/>
      <c r="F7" s="116" t="s">
        <v>33</v>
      </c>
      <c r="G7" s="118"/>
      <c r="H7" s="116" t="s">
        <v>32</v>
      </c>
      <c r="I7" s="118"/>
      <c r="J7" s="102"/>
    </row>
    <row r="8" spans="1:10" s="106" customFormat="1" x14ac:dyDescent="0.25">
      <c r="A8" s="102"/>
      <c r="B8" s="124" t="s">
        <v>33</v>
      </c>
      <c r="C8" s="118"/>
      <c r="D8" s="117" t="s">
        <v>219</v>
      </c>
      <c r="E8" s="116"/>
      <c r="F8" s="115" t="s">
        <v>219</v>
      </c>
      <c r="G8" s="118"/>
      <c r="H8" s="115" t="s">
        <v>33</v>
      </c>
      <c r="I8" s="118"/>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0"/>
      <c r="D10" s="114">
        <v>0</v>
      </c>
      <c r="E10" s="120"/>
      <c r="F10" s="105">
        <v>0</v>
      </c>
      <c r="G10" s="119"/>
      <c r="H10" s="105">
        <f>+B10+F10</f>
        <v>2447900</v>
      </c>
      <c r="I10" s="119"/>
      <c r="J10" s="102"/>
    </row>
    <row r="11" spans="1:10" s="106" customFormat="1" ht="16.5" x14ac:dyDescent="0.35">
      <c r="A11" s="102" t="s">
        <v>78</v>
      </c>
      <c r="B11" s="123">
        <v>0</v>
      </c>
      <c r="C11" s="120"/>
      <c r="D11" s="121">
        <v>0</v>
      </c>
      <c r="E11" s="121"/>
      <c r="F11" s="121">
        <v>0</v>
      </c>
      <c r="G11" s="119"/>
      <c r="H11" s="121">
        <f>+B11+F11</f>
        <v>0</v>
      </c>
      <c r="I11" s="119"/>
      <c r="J11" s="102"/>
    </row>
    <row r="12" spans="1:10" s="106" customFormat="1" ht="16.5" x14ac:dyDescent="0.35">
      <c r="A12" s="118" t="s">
        <v>55</v>
      </c>
      <c r="B12" s="121">
        <f>SUM(B10:B11)</f>
        <v>2447900</v>
      </c>
      <c r="C12" s="120"/>
      <c r="D12" s="121">
        <f>SUM(D10:D11)</f>
        <v>0</v>
      </c>
      <c r="E12" s="120"/>
      <c r="F12" s="121">
        <f>SUM(F10:F11)</f>
        <v>0</v>
      </c>
      <c r="G12" s="119"/>
      <c r="H12" s="121">
        <f>SUM(H10:H11)</f>
        <v>2447900</v>
      </c>
      <c r="I12" s="119"/>
      <c r="J12" s="102"/>
    </row>
    <row r="13" spans="1:10" s="106" customFormat="1" x14ac:dyDescent="0.25">
      <c r="A13" s="102"/>
      <c r="B13" s="120"/>
      <c r="C13" s="120"/>
      <c r="D13" s="120"/>
      <c r="E13" s="120"/>
      <c r="F13" s="120"/>
      <c r="G13" s="119"/>
      <c r="H13" s="120"/>
      <c r="I13" s="119"/>
      <c r="J13" s="102"/>
    </row>
    <row r="14" spans="1:10" s="106" customFormat="1" x14ac:dyDescent="0.25">
      <c r="A14" s="102" t="s">
        <v>56</v>
      </c>
      <c r="B14" s="120"/>
      <c r="C14" s="120"/>
      <c r="D14" s="120"/>
      <c r="E14" s="120"/>
      <c r="F14" s="120"/>
      <c r="G14" s="119"/>
      <c r="H14" s="120"/>
      <c r="I14" s="119"/>
      <c r="J14" s="102"/>
    </row>
    <row r="15" spans="1:10" s="106" customFormat="1" x14ac:dyDescent="0.25">
      <c r="A15" s="102" t="s">
        <v>79</v>
      </c>
      <c r="B15" s="120">
        <v>567554</v>
      </c>
      <c r="C15" s="120"/>
      <c r="D15" s="120">
        <v>0</v>
      </c>
      <c r="E15" s="120"/>
      <c r="F15" s="120">
        <v>0</v>
      </c>
      <c r="G15" s="119"/>
      <c r="H15" s="120">
        <f t="shared" ref="H15:H27" si="0">+B15+F15</f>
        <v>567554</v>
      </c>
      <c r="I15" s="119"/>
      <c r="J15" s="102"/>
    </row>
    <row r="16" spans="1:10" s="106" customFormat="1" x14ac:dyDescent="0.25">
      <c r="A16" s="102" t="s">
        <v>80</v>
      </c>
      <c r="B16" s="120">
        <v>6905</v>
      </c>
      <c r="C16" s="120"/>
      <c r="D16" s="120">
        <v>0</v>
      </c>
      <c r="E16" s="120"/>
      <c r="F16" s="120">
        <v>194724</v>
      </c>
      <c r="G16" s="119"/>
      <c r="H16" s="120">
        <f t="shared" si="0"/>
        <v>201629</v>
      </c>
      <c r="I16" s="119"/>
      <c r="J16" s="102"/>
    </row>
    <row r="17" spans="1:10" s="106" customFormat="1" x14ac:dyDescent="0.25">
      <c r="A17" s="102" t="s">
        <v>81</v>
      </c>
      <c r="B17" s="120">
        <v>192919</v>
      </c>
      <c r="C17" s="120"/>
      <c r="D17" s="120">
        <v>0</v>
      </c>
      <c r="E17" s="120"/>
      <c r="F17" s="120">
        <v>0</v>
      </c>
      <c r="G17" s="119"/>
      <c r="H17" s="120">
        <f t="shared" si="0"/>
        <v>192919</v>
      </c>
      <c r="I17" s="119"/>
      <c r="J17" s="102"/>
    </row>
    <row r="18" spans="1:10" s="106" customFormat="1" x14ac:dyDescent="0.25">
      <c r="A18" s="102" t="s">
        <v>82</v>
      </c>
      <c r="B18" s="120">
        <v>139323</v>
      </c>
      <c r="C18" s="120"/>
      <c r="D18" s="120">
        <v>0</v>
      </c>
      <c r="E18" s="120"/>
      <c r="F18" s="120">
        <v>0</v>
      </c>
      <c r="G18" s="119"/>
      <c r="H18" s="120">
        <f t="shared" si="0"/>
        <v>139323</v>
      </c>
      <c r="I18" s="119"/>
      <c r="J18" s="102"/>
    </row>
    <row r="19" spans="1:10" s="106" customFormat="1" x14ac:dyDescent="0.25">
      <c r="A19" s="102" t="s">
        <v>83</v>
      </c>
      <c r="B19" s="120">
        <v>26850</v>
      </c>
      <c r="C19" s="120"/>
      <c r="D19" s="120">
        <v>0</v>
      </c>
      <c r="E19" s="120"/>
      <c r="F19" s="120">
        <v>0</v>
      </c>
      <c r="G19" s="119"/>
      <c r="H19" s="120">
        <f t="shared" si="0"/>
        <v>26850</v>
      </c>
      <c r="I19" s="119"/>
      <c r="J19" s="102"/>
    </row>
    <row r="20" spans="1:10" s="106" customFormat="1" x14ac:dyDescent="0.25">
      <c r="A20" s="102" t="s">
        <v>88</v>
      </c>
      <c r="B20" s="120">
        <v>11815</v>
      </c>
      <c r="C20" s="120"/>
      <c r="D20" s="120">
        <v>0</v>
      </c>
      <c r="E20" s="120"/>
      <c r="F20" s="120">
        <v>0</v>
      </c>
      <c r="G20" s="119"/>
      <c r="H20" s="120">
        <f t="shared" si="0"/>
        <v>11815</v>
      </c>
      <c r="I20" s="119"/>
      <c r="J20" s="102"/>
    </row>
    <row r="21" spans="1:10" s="106" customFormat="1" x14ac:dyDescent="0.25">
      <c r="A21" s="102" t="s">
        <v>84</v>
      </c>
      <c r="B21" s="120">
        <v>14175</v>
      </c>
      <c r="C21" s="120"/>
      <c r="D21" s="120">
        <v>0</v>
      </c>
      <c r="E21" s="120"/>
      <c r="F21" s="120">
        <v>0</v>
      </c>
      <c r="G21" s="119"/>
      <c r="H21" s="120">
        <f t="shared" si="0"/>
        <v>14175</v>
      </c>
      <c r="I21" s="119"/>
      <c r="J21" s="102"/>
    </row>
    <row r="22" spans="1:10" s="106" customFormat="1" x14ac:dyDescent="0.25">
      <c r="A22" s="102" t="s">
        <v>85</v>
      </c>
      <c r="B22" s="120">
        <v>4000</v>
      </c>
      <c r="C22" s="120"/>
      <c r="D22" s="120">
        <v>0</v>
      </c>
      <c r="E22" s="120"/>
      <c r="F22" s="120">
        <v>0</v>
      </c>
      <c r="G22" s="119"/>
      <c r="H22" s="120">
        <f t="shared" si="0"/>
        <v>4000</v>
      </c>
      <c r="I22" s="119"/>
      <c r="J22" s="102"/>
    </row>
    <row r="23" spans="1:10" s="106" customFormat="1" x14ac:dyDescent="0.25">
      <c r="A23" s="102" t="s">
        <v>86</v>
      </c>
      <c r="B23" s="120">
        <v>3000</v>
      </c>
      <c r="C23" s="120"/>
      <c r="D23" s="120">
        <v>0</v>
      </c>
      <c r="E23" s="120"/>
      <c r="F23" s="120">
        <v>0</v>
      </c>
      <c r="G23" s="119"/>
      <c r="H23" s="120">
        <f t="shared" si="0"/>
        <v>3000</v>
      </c>
      <c r="I23" s="119"/>
      <c r="J23" s="102"/>
    </row>
    <row r="24" spans="1:10" s="106" customFormat="1" x14ac:dyDescent="0.25">
      <c r="A24" s="102" t="s">
        <v>87</v>
      </c>
      <c r="B24" s="120">
        <f>199300+100073</f>
        <v>299373</v>
      </c>
      <c r="C24" s="120"/>
      <c r="D24" s="120">
        <v>0</v>
      </c>
      <c r="E24" s="120"/>
      <c r="F24" s="120">
        <v>0</v>
      </c>
      <c r="G24" s="119"/>
      <c r="H24" s="120">
        <f t="shared" si="0"/>
        <v>299373</v>
      </c>
      <c r="I24" s="119"/>
      <c r="J24" s="102"/>
    </row>
    <row r="25" spans="1:10" s="106" customFormat="1" x14ac:dyDescent="0.25">
      <c r="A25" s="102" t="s">
        <v>63</v>
      </c>
      <c r="B25" s="120">
        <v>42000</v>
      </c>
      <c r="C25" s="120"/>
      <c r="D25" s="120">
        <v>0</v>
      </c>
      <c r="E25" s="120"/>
      <c r="F25" s="120">
        <v>0</v>
      </c>
      <c r="G25" s="119"/>
      <c r="H25" s="120">
        <f t="shared" si="0"/>
        <v>42000</v>
      </c>
      <c r="I25" s="119"/>
      <c r="J25" s="102"/>
    </row>
    <row r="26" spans="1:10" s="106" customFormat="1" x14ac:dyDescent="0.25">
      <c r="A26" s="102" t="s">
        <v>64</v>
      </c>
      <c r="B26" s="120">
        <v>1514880</v>
      </c>
      <c r="C26" s="120"/>
      <c r="D26" s="120">
        <v>0</v>
      </c>
      <c r="E26" s="120"/>
      <c r="F26" s="120">
        <v>0</v>
      </c>
      <c r="G26" s="119"/>
      <c r="H26" s="120">
        <f t="shared" si="0"/>
        <v>1514880</v>
      </c>
      <c r="I26" s="119"/>
      <c r="J26" s="102"/>
    </row>
    <row r="27" spans="1:10" s="106" customFormat="1" ht="16.5" x14ac:dyDescent="0.35">
      <c r="A27" s="102" t="s">
        <v>89</v>
      </c>
      <c r="B27" s="121">
        <v>6603</v>
      </c>
      <c r="C27" s="120"/>
      <c r="D27" s="121">
        <v>0</v>
      </c>
      <c r="E27" s="120"/>
      <c r="F27" s="121">
        <v>0</v>
      </c>
      <c r="G27" s="122"/>
      <c r="H27" s="121">
        <f t="shared" si="0"/>
        <v>6603</v>
      </c>
      <c r="I27" s="119"/>
      <c r="J27" s="102"/>
    </row>
    <row r="28" spans="1:10" s="106" customFormat="1" ht="16.5" x14ac:dyDescent="0.35">
      <c r="A28" s="118" t="s">
        <v>55</v>
      </c>
      <c r="B28" s="121">
        <f>SUM(B15:B27)</f>
        <v>2829397</v>
      </c>
      <c r="C28" s="120"/>
      <c r="D28" s="121">
        <f>SUM(D15:D27)</f>
        <v>0</v>
      </c>
      <c r="E28" s="120"/>
      <c r="F28" s="121">
        <f>SUM(F15:F27)</f>
        <v>194724</v>
      </c>
      <c r="G28" s="119"/>
      <c r="H28" s="121">
        <f>SUM(H15:H27)</f>
        <v>3024121</v>
      </c>
      <c r="I28" s="119"/>
      <c r="J28" s="102"/>
    </row>
    <row r="29" spans="1:10" s="102" customFormat="1" ht="3.75" customHeight="1" x14ac:dyDescent="0.2">
      <c r="B29" s="120"/>
      <c r="C29" s="120"/>
      <c r="D29" s="120"/>
      <c r="E29" s="120"/>
      <c r="F29" s="120"/>
      <c r="G29" s="119"/>
      <c r="H29" s="120"/>
      <c r="I29" s="119"/>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09"/>
    </row>
    <row r="33" spans="1:10" s="106" customFormat="1" ht="16.5" x14ac:dyDescent="0.35">
      <c r="A33" s="118" t="s">
        <v>55</v>
      </c>
      <c r="B33" s="107">
        <f>SUM(B31:B32)</f>
        <v>0</v>
      </c>
      <c r="C33" s="107"/>
      <c r="D33" s="107">
        <f>SUM(D31:D32)</f>
        <v>0</v>
      </c>
      <c r="E33" s="107"/>
      <c r="F33" s="107">
        <f>SUM(F31:F32)</f>
        <v>0</v>
      </c>
      <c r="G33" s="108"/>
      <c r="H33" s="107">
        <f>SUM(H31:H32)</f>
        <v>0</v>
      </c>
      <c r="I33" s="102"/>
      <c r="J33" s="102"/>
    </row>
    <row r="34" spans="1:10" s="102" customFormat="1" ht="3.75" customHeight="1" x14ac:dyDescent="0.2">
      <c r="B34" s="120"/>
      <c r="C34" s="120"/>
      <c r="D34" s="120"/>
      <c r="E34" s="120"/>
      <c r="F34" s="120"/>
      <c r="G34" s="119"/>
      <c r="H34" s="120"/>
      <c r="I34" s="119"/>
    </row>
    <row r="35" spans="1:10" s="102" customFormat="1" x14ac:dyDescent="0.35">
      <c r="A35" s="102" t="s">
        <v>396</v>
      </c>
      <c r="B35" s="104">
        <f>+B12-B28+B33</f>
        <v>-381497</v>
      </c>
      <c r="C35" s="105"/>
      <c r="D35" s="104">
        <f>+D12-D28+D33</f>
        <v>0</v>
      </c>
      <c r="E35" s="105"/>
      <c r="F35" s="104">
        <f>+F12-F28+F33</f>
        <v>-194724</v>
      </c>
      <c r="G35" s="105"/>
      <c r="H35" s="104">
        <f>+H12-H28+H33</f>
        <v>-576221</v>
      </c>
    </row>
    <row r="36" spans="1:10" s="102" customFormat="1" ht="3.75" customHeight="1" x14ac:dyDescent="0.2">
      <c r="B36" s="120"/>
      <c r="C36" s="120"/>
      <c r="D36" s="120"/>
      <c r="E36" s="120"/>
      <c r="F36" s="120"/>
      <c r="G36" s="119"/>
      <c r="H36" s="120"/>
      <c r="I36" s="119"/>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H24" sqref="H24"/>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33" t="s">
        <v>0</v>
      </c>
      <c r="B1" s="133"/>
      <c r="C1" s="133"/>
      <c r="D1" s="133"/>
      <c r="E1" s="133"/>
      <c r="F1" s="133"/>
      <c r="G1" s="133"/>
      <c r="H1" s="133"/>
    </row>
    <row r="2" spans="1:8" x14ac:dyDescent="0.25">
      <c r="A2" s="134" t="s">
        <v>393</v>
      </c>
      <c r="B2" s="134"/>
      <c r="C2" s="134"/>
      <c r="D2" s="134"/>
      <c r="E2" s="134"/>
      <c r="F2" s="134"/>
      <c r="G2" s="134"/>
      <c r="H2" s="134"/>
    </row>
    <row r="3" spans="1:8" x14ac:dyDescent="0.25">
      <c r="A3" s="135" t="str">
        <f>+'Statement of Net Position'!A3:E3</f>
        <v>June 30, 2024</v>
      </c>
      <c r="B3" s="135"/>
      <c r="C3" s="135"/>
      <c r="D3" s="135"/>
      <c r="E3" s="135"/>
      <c r="F3" s="135"/>
      <c r="G3" s="135"/>
      <c r="H3" s="135"/>
    </row>
    <row r="5" spans="1:8" s="41" customFormat="1" ht="18" customHeight="1" x14ac:dyDescent="0.25">
      <c r="A5" s="39" t="s">
        <v>95</v>
      </c>
      <c r="B5" s="132" t="s">
        <v>361</v>
      </c>
      <c r="C5" s="132"/>
      <c r="D5" s="132"/>
      <c r="E5" s="132"/>
      <c r="F5" s="132"/>
      <c r="G5" s="132"/>
      <c r="H5" s="132"/>
    </row>
    <row r="6" spans="1:8" s="41" customFormat="1" ht="18" customHeight="1" x14ac:dyDescent="0.25">
      <c r="A6" s="39" t="s">
        <v>96</v>
      </c>
      <c r="B6" s="132" t="s">
        <v>362</v>
      </c>
      <c r="C6" s="132"/>
      <c r="D6" s="132"/>
      <c r="E6" s="132"/>
      <c r="F6" s="132"/>
      <c r="G6" s="132"/>
      <c r="H6" s="132"/>
    </row>
    <row r="7" spans="1:8" s="41" customFormat="1" ht="18" customHeight="1" x14ac:dyDescent="0.25">
      <c r="A7" s="39" t="s">
        <v>97</v>
      </c>
      <c r="B7" s="58" t="s">
        <v>98</v>
      </c>
      <c r="C7" s="40"/>
      <c r="D7" s="40"/>
      <c r="E7" s="40"/>
      <c r="F7" s="40"/>
      <c r="G7" s="40"/>
      <c r="H7" s="40"/>
    </row>
    <row r="8" spans="1:8" s="41" customFormat="1" ht="18" customHeight="1" x14ac:dyDescent="0.25">
      <c r="A8" s="39" t="s">
        <v>99</v>
      </c>
      <c r="B8" s="132" t="s">
        <v>363</v>
      </c>
      <c r="C8" s="132"/>
      <c r="D8" s="132"/>
      <c r="E8" s="132"/>
      <c r="F8" s="132"/>
      <c r="G8" s="132"/>
      <c r="H8" s="132"/>
    </row>
    <row r="9" spans="1:8" s="41" customFormat="1" ht="36" customHeight="1" x14ac:dyDescent="0.25">
      <c r="A9" s="39"/>
      <c r="B9" s="131" t="s">
        <v>197</v>
      </c>
      <c r="C9" s="131"/>
      <c r="D9" s="131"/>
      <c r="E9" s="131"/>
      <c r="F9" s="131"/>
      <c r="G9" s="131"/>
      <c r="H9" s="131"/>
    </row>
    <row r="10" spans="1:8" s="41" customFormat="1" ht="36" customHeight="1" x14ac:dyDescent="0.25">
      <c r="A10" s="39" t="s">
        <v>100</v>
      </c>
      <c r="B10" s="131" t="s">
        <v>274</v>
      </c>
      <c r="C10" s="131"/>
      <c r="D10" s="131"/>
      <c r="E10" s="131"/>
      <c r="F10" s="131"/>
      <c r="G10" s="131"/>
      <c r="H10" s="131"/>
    </row>
    <row r="11" spans="1:8" s="41" customFormat="1" ht="18" customHeight="1" x14ac:dyDescent="0.25">
      <c r="A11" s="39" t="s">
        <v>101</v>
      </c>
      <c r="B11" s="131" t="s">
        <v>280</v>
      </c>
      <c r="C11" s="131"/>
      <c r="D11" s="131"/>
      <c r="E11" s="131"/>
      <c r="F11" s="131"/>
      <c r="G11" s="131"/>
      <c r="H11" s="131"/>
    </row>
    <row r="12" spans="1:8" s="41" customFormat="1" ht="36" customHeight="1" x14ac:dyDescent="0.25">
      <c r="A12" s="39" t="s">
        <v>102</v>
      </c>
      <c r="B12" s="131" t="s">
        <v>380</v>
      </c>
      <c r="C12" s="131"/>
      <c r="D12" s="131"/>
      <c r="E12" s="131"/>
      <c r="F12" s="131"/>
      <c r="G12" s="131"/>
      <c r="H12" s="131"/>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1" t="s">
        <v>364</v>
      </c>
      <c r="C15" s="131"/>
      <c r="D15" s="131"/>
      <c r="E15" s="131"/>
      <c r="F15" s="131"/>
      <c r="G15" s="131"/>
      <c r="H15" s="131"/>
    </row>
    <row r="16" spans="1:8" s="41" customFormat="1" ht="43.5" customHeight="1" x14ac:dyDescent="0.25">
      <c r="A16" s="42" t="s">
        <v>108</v>
      </c>
      <c r="B16" s="131" t="s">
        <v>351</v>
      </c>
      <c r="C16" s="131"/>
      <c r="D16" s="131"/>
      <c r="E16" s="131"/>
      <c r="F16" s="131"/>
      <c r="G16" s="131"/>
      <c r="H16" s="131"/>
    </row>
    <row r="17" spans="1:8" s="41" customFormat="1" ht="18" customHeight="1" x14ac:dyDescent="0.25">
      <c r="A17" s="39" t="s">
        <v>109</v>
      </c>
      <c r="B17" s="58" t="s">
        <v>253</v>
      </c>
    </row>
    <row r="18" spans="1:8" s="41" customFormat="1" ht="18" customHeight="1" x14ac:dyDescent="0.25">
      <c r="A18" s="39" t="s">
        <v>193</v>
      </c>
      <c r="B18" s="132" t="s">
        <v>352</v>
      </c>
      <c r="C18" s="132"/>
      <c r="D18" s="132"/>
      <c r="E18" s="132"/>
      <c r="F18" s="132"/>
      <c r="G18" s="132"/>
      <c r="H18" s="132"/>
    </row>
    <row r="19" spans="1:8" s="41" customFormat="1" ht="18" customHeight="1" x14ac:dyDescent="0.25">
      <c r="A19" s="42" t="s">
        <v>260</v>
      </c>
      <c r="B19" s="132" t="s">
        <v>110</v>
      </c>
      <c r="C19" s="132"/>
      <c r="D19" s="132"/>
      <c r="E19" s="132"/>
      <c r="F19" s="132"/>
      <c r="G19" s="132"/>
      <c r="H19" s="132"/>
    </row>
    <row r="20" spans="1:8" s="41" customFormat="1" ht="36" customHeight="1" x14ac:dyDescent="0.25">
      <c r="A20" s="42" t="s">
        <v>262</v>
      </c>
      <c r="B20" s="131" t="s">
        <v>247</v>
      </c>
      <c r="C20" s="131"/>
      <c r="D20" s="131"/>
      <c r="E20" s="131"/>
      <c r="F20" s="131"/>
      <c r="G20" s="131"/>
      <c r="H20" s="131"/>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1" t="s">
        <v>299</v>
      </c>
      <c r="C25" s="131"/>
      <c r="D25" s="131"/>
      <c r="E25" s="131"/>
      <c r="F25" s="131"/>
      <c r="G25" s="131"/>
      <c r="H25" s="131"/>
    </row>
    <row r="26" spans="1:8" ht="36" customHeight="1" x14ac:dyDescent="0.25">
      <c r="A26" s="43" t="s">
        <v>298</v>
      </c>
      <c r="B26" s="131" t="s">
        <v>300</v>
      </c>
      <c r="C26" s="131"/>
      <c r="D26" s="131"/>
      <c r="E26" s="131"/>
      <c r="F26" s="131"/>
      <c r="G26" s="131"/>
      <c r="H26" s="131"/>
    </row>
    <row r="27" spans="1:8" ht="36" customHeight="1" x14ac:dyDescent="0.25">
      <c r="A27" s="43"/>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opLeftCell="A40" zoomScaleNormal="100" workbookViewId="0">
      <selection activeCell="N50" sqref="N50"/>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10.7109375" style="4" customWidth="1"/>
    <col min="11" max="11" width="3.85546875" style="56" bestFit="1" customWidth="1"/>
    <col min="13" max="13" width="11.28515625"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+'Statement of Net Position'!A3:E3</f>
        <v>June 30, 2024</v>
      </c>
      <c r="B3" s="130"/>
      <c r="C3" s="130"/>
      <c r="D3" s="130"/>
      <c r="E3" s="130"/>
      <c r="F3" s="130"/>
      <c r="G3" s="130"/>
      <c r="H3" s="130"/>
      <c r="I3" s="130"/>
      <c r="J3" s="130"/>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45107</v>
      </c>
    </row>
    <row r="9" spans="1:11" x14ac:dyDescent="0.25">
      <c r="B9" s="22" t="s">
        <v>33</v>
      </c>
      <c r="C9" s="56"/>
      <c r="D9" s="23" t="s">
        <v>35</v>
      </c>
      <c r="E9" s="56"/>
      <c r="F9" s="22" t="s">
        <v>33</v>
      </c>
      <c r="G9" s="56"/>
      <c r="H9" s="24">
        <v>45107</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5334445.84</v>
      </c>
      <c r="F11" s="3">
        <f t="shared" ref="F11:F23" si="0">+(D11-B11)/B11+1</f>
        <v>0.9999999700062574</v>
      </c>
      <c r="H11" s="32">
        <f>+'Rev, Exp, Cha Unrestricted'!H10+'Rev, Exp, Cha Federal Restrict'!H10+'Rev, Exp, Cha State Restr '!H10+'Rev, Exp, Cha Local Restr '!H10+'Rev, Exp, Cha Debt Service'!H10</f>
        <v>4132692</v>
      </c>
      <c r="J11" s="3">
        <f>+(D11-H11)/H11+1</f>
        <v>1.2907920164386797</v>
      </c>
      <c r="K11" s="16" t="s">
        <v>111</v>
      </c>
    </row>
    <row r="12" spans="1:11" x14ac:dyDescent="0.25">
      <c r="A12" s="4" t="s">
        <v>92</v>
      </c>
      <c r="B12" s="25"/>
      <c r="C12" s="6"/>
      <c r="D12" s="32"/>
      <c r="F12" s="3"/>
      <c r="H12" s="32"/>
      <c r="J12" s="3"/>
    </row>
    <row r="13" spans="1:11" x14ac:dyDescent="0.25">
      <c r="A13" s="10" t="s">
        <v>93</v>
      </c>
      <c r="B13" s="5">
        <f>+'Rev, Exp, Cha Unrestricted'!B12</f>
        <v>1338549</v>
      </c>
      <c r="C13" s="6"/>
      <c r="D13" s="5">
        <f>+'Rev, Exp, Cha Unrestricted'!D12</f>
        <v>1338552</v>
      </c>
      <c r="F13" s="3">
        <f t="shared" si="0"/>
        <v>1.0000022412328573</v>
      </c>
      <c r="H13" s="5">
        <f>+'Rev, Exp, Cha Unrestricted'!H12</f>
        <v>1241545.3999999999</v>
      </c>
      <c r="J13" s="3">
        <f>+(D13-H13)/H13+1</f>
        <v>1.0781337516936553</v>
      </c>
      <c r="K13" s="16" t="s">
        <v>112</v>
      </c>
    </row>
    <row r="14" spans="1:11" x14ac:dyDescent="0.25">
      <c r="A14" s="10" t="s">
        <v>94</v>
      </c>
      <c r="B14" s="5">
        <f>+'Rev, Exp, Cha Unrestricted'!B13</f>
        <v>518434</v>
      </c>
      <c r="C14" s="6"/>
      <c r="D14" s="5">
        <f>+'Rev, Exp, Cha Unrestricted'!D13</f>
        <v>518434.65</v>
      </c>
      <c r="F14" s="3">
        <f t="shared" si="0"/>
        <v>1.0000012537757941</v>
      </c>
      <c r="H14" s="5">
        <f>+'Rev, Exp, Cha Unrestricted'!H13</f>
        <v>430500.98</v>
      </c>
      <c r="J14" s="3">
        <f>+(D14-H14)/H14+1</f>
        <v>1.2042589310714229</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13969259.92</v>
      </c>
      <c r="F16" s="3">
        <f t="shared" si="0"/>
        <v>1.0165676500120728</v>
      </c>
      <c r="H16" s="5">
        <f>+'Rev, Exp, Cha Unrestricted'!H15+'Rev, Exp, Cha Federal Restrict'!H15+'Rev, Exp, Cha State Restr '!H15+'Rev, Exp, Cha Local Restr '!H15+'Rev, Exp, Cha Debt Service'!H12</f>
        <v>13561167.359999999</v>
      </c>
      <c r="J16" s="3">
        <f>+(D16-H16)/H16+1</f>
        <v>1.0300927308959928</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2896617.29</v>
      </c>
      <c r="F17" s="3">
        <f t="shared" si="0"/>
        <v>1.0164425390208298</v>
      </c>
      <c r="H17" s="5">
        <f>+'Rev, Exp, Cha Unrestricted'!H16+'Rev, Exp, Cha Federal Restrict'!H16+'Rev, Exp, Cha State Restr '!H16+'Rev, Exp, Cha Local Restr '!H16+'Rev, Exp, Cha Debt Service'!H13</f>
        <v>2647104</v>
      </c>
      <c r="J17" s="3">
        <f>+(D17-H17)/H17+1</f>
        <v>1.094258967535843</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3794091.28</v>
      </c>
      <c r="F19" s="3">
        <f t="shared" si="0"/>
        <v>0.88727489916669722</v>
      </c>
      <c r="H19" s="5">
        <f>+'Rev, Exp, Cha Unrestricted'!H18+'Rev, Exp, Cha Federal Restrict'!H18+'Rev, Exp, Cha State Restr '!H18+'Rev, Exp, Cha Local Restr '!H18+'Rev, Exp, Cha Debt Service'!H15</f>
        <v>3809971.33</v>
      </c>
      <c r="J19" s="3">
        <f>+(D19-H19)/H19+1</f>
        <v>0.9958319765099124</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1214867.45</v>
      </c>
      <c r="F20" s="3">
        <f t="shared" si="0"/>
        <v>0.76319638274548229</v>
      </c>
      <c r="H20" s="5">
        <f>+'Rev, Exp, Cha Unrestricted'!H19+'Rev, Exp, Cha Federal Restrict'!H19+'Rev, Exp, Cha State Restr '!H19+'Rev, Exp, Cha Local Restr '!H19+'Rev, Exp, Cha Debt Service'!H16</f>
        <v>1049151.6499999999</v>
      </c>
      <c r="J20" s="3">
        <f>+(D20-H20)/H20+1</f>
        <v>1.1579521892759737</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-127075</v>
      </c>
      <c r="F21" s="3">
        <f t="shared" si="0"/>
        <v>0.57761363636363638</v>
      </c>
      <c r="H21" s="5">
        <f>+'Rev, Exp, Cha Unrestricted'!H20+'Rev, Exp, Cha Federal Restrict'!H20+'Rev, Exp, Cha State Restr '!H20+'Rev, Exp, Cha Local Restr '!H20+'Rev, Exp, Cha Debt Service'!H17</f>
        <v>-101891</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4422473.3600000003</v>
      </c>
      <c r="F23" s="3">
        <f t="shared" si="0"/>
        <v>0.88709350112088381</v>
      </c>
      <c r="H23" s="5">
        <f>+'Rev, Exp, Cha Unrestricted'!H22+'Rev, Exp, Cha Federal Restrict'!H22+'Rev, Exp, Cha State Restr '!H22+'Rev, Exp, Cha Local Restr '!H22+'Rev, Exp, Cha Debt Service'!H19</f>
        <v>4266712.74</v>
      </c>
      <c r="J23" s="3">
        <f>+(D23-H23)/H23+1</f>
        <v>1.0365060011047287</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-160630.98000000001</v>
      </c>
      <c r="F26" s="3">
        <f t="shared" ref="F26:F33" si="1">+(D26-B26)/B26+1</f>
        <v>0.53543660000000004</v>
      </c>
      <c r="H26" s="5">
        <f>+'Rev, Exp, Cha Unrestricted'!H25+'Rev, Exp, Cha Federal Restrict'!H25+'Rev, Exp, Cha State Restr '!H25+'Rev, Exp, Cha Local Restr '!H25+'Rev, Exp, Cha Debt Service'!H22</f>
        <v>-193314.55</v>
      </c>
      <c r="J26" s="3">
        <f t="shared" ref="J26:J33" si="2">+(D26-H26)/H26+1</f>
        <v>0.83093062575993382</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458152.68</v>
      </c>
      <c r="F28" s="3">
        <f t="shared" si="1"/>
        <v>1.0576936111662611</v>
      </c>
      <c r="H28" s="5">
        <f>+'Rev, Exp, Cha Unrestricted'!H27+'Rev, Exp, Cha Federal Restrict'!H27+'Rev, Exp, Cha State Restr '!H27+'Rev, Exp, Cha Local Restr '!H27+'Rev, Exp, Cha Debt Service'!H24</f>
        <v>439951.01</v>
      </c>
      <c r="J28" s="3">
        <f t="shared" si="2"/>
        <v>1.0413720382185279</v>
      </c>
      <c r="K28" s="16" t="s">
        <v>126</v>
      </c>
    </row>
    <row r="29" spans="1:13" x14ac:dyDescent="0.25">
      <c r="A29" s="4" t="s">
        <v>200</v>
      </c>
      <c r="B29" s="6">
        <v>0</v>
      </c>
      <c r="C29" s="6"/>
      <c r="D29" s="5">
        <f>+'Rev, Exp, Cha Debt Service'!D25</f>
        <v>0</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800003</v>
      </c>
      <c r="C30" s="6"/>
      <c r="D30" s="5">
        <f>+'Rev, Exp, Cha Unrestricted'!D28+'Rev, Exp, Cha Federal Restrict'!D28+'Rev, Exp, Cha State Restr '!D28+'Rev, Exp, Cha Local Restr '!D28+'Rev, Exp, Cha Debt Service'!D26</f>
        <v>636605.84</v>
      </c>
      <c r="F30" s="3">
        <f t="shared" si="1"/>
        <v>0.79575431592131529</v>
      </c>
      <c r="H30" s="5">
        <f>+'Rev, Exp, Cha Unrestricted'!H28+'Rev, Exp, Cha Federal Restrict'!H28+'Rev, Exp, Cha State Restr '!H28+'Rev, Exp, Cha Local Restr '!H28+'Rev, Exp, Cha Debt Service'!H26</f>
        <v>445293.51999999996</v>
      </c>
      <c r="J30" s="3">
        <f t="shared" si="2"/>
        <v>1.4296319425443245</v>
      </c>
      <c r="K30" s="16" t="s">
        <v>127</v>
      </c>
    </row>
    <row r="31" spans="1:13" x14ac:dyDescent="0.25">
      <c r="A31" s="4" t="s">
        <v>64</v>
      </c>
      <c r="B31" s="6">
        <f>+'Rev, Exp, Cha Auxiliary'!B13</f>
        <v>2447900</v>
      </c>
      <c r="C31" s="6"/>
      <c r="D31" s="5">
        <f>+'Rev, Exp, Cha Auxiliary'!D13</f>
        <v>1499328.87</v>
      </c>
      <c r="F31" s="3">
        <f t="shared" si="1"/>
        <v>0.61249596388741367</v>
      </c>
      <c r="H31" s="5">
        <f>+'Rev, Exp, Cha Auxiliary'!H13</f>
        <v>1583898.94</v>
      </c>
      <c r="J31" s="3">
        <f t="shared" si="2"/>
        <v>0.94660639775413968</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113688.25</v>
      </c>
      <c r="F32" s="3">
        <f t="shared" si="1"/>
        <v>0.99857927097057531</v>
      </c>
      <c r="H32" s="5">
        <f>+'Rev, Exp, Cha Unrestricted'!H30+'Rev, Exp, Cha Federal Restrict'!H30+'Rev, Exp, Cha State Restr '!H30+'Rev, Exp, Cha Local Restr '!H30+'Rev, Exp, Cha Debt Service'!H28</f>
        <v>110094.6</v>
      </c>
      <c r="J32" s="3">
        <f t="shared" si="2"/>
        <v>1.0326414737870886</v>
      </c>
      <c r="K32" s="16" t="s">
        <v>129</v>
      </c>
    </row>
    <row r="33" spans="1:11" x14ac:dyDescent="0.25">
      <c r="A33" s="4" t="s">
        <v>63</v>
      </c>
      <c r="B33" s="6">
        <f>+'Rev, Exp, Cha Unrestricted'!B31+'Rev, Exp, Cha Federal Restrict'!B31+'Rev, Exp, Cha State Restr '!B31+'Rev, Exp, Cha Local Restr '!B31+'Rev, Exp, Cha Debt Service'!B29</f>
        <v>3312156</v>
      </c>
      <c r="C33" s="6"/>
      <c r="D33" s="5">
        <f>+'Rev, Exp, Cha Unrestricted'!D31+'Rev, Exp, Cha Federal Restrict'!D31+'Rev, Exp, Cha State Restr '!D31+'Rev, Exp, Cha Local Restr '!D31+'Rev, Exp, Cha Debt Service'!D29</f>
        <v>6514408.75</v>
      </c>
      <c r="F33" s="3">
        <f t="shared" si="1"/>
        <v>1.9668182144802357</v>
      </c>
      <c r="H33" s="5">
        <f>+'Rev, Exp, Cha Unrestricted'!H31+'Rev, Exp, Cha Federal Restrict'!H31+'Rev, Exp, Cha State Restr '!H31+'Rev, Exp, Cha Local Restr '!H31+'Rev, Exp, Cha Debt Service'!H29</f>
        <v>5670942.0599999996</v>
      </c>
      <c r="J33" s="3">
        <f t="shared" si="2"/>
        <v>1.1487348453001123</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3032524</v>
      </c>
      <c r="C35" s="6"/>
      <c r="D35" s="5">
        <f>+'Rev, Exp, Cha Unrestricted'!D33+'Rev, Exp, Cha Federal Restrict'!D33+'Rev, Exp, Cha State Restr '!D33+'Rev, Exp, Cha Local Restr '!D33+'Rev, Exp, Cha Debt Service'!D31</f>
        <v>4678537.29</v>
      </c>
      <c r="F35" s="3">
        <f t="shared" ref="F35:F38" si="3">+(D35-B35)/B35+1</f>
        <v>1.5427865665696299</v>
      </c>
      <c r="H35" s="5">
        <f>+'Rev, Exp, Cha Unrestricted'!H33+'Rev, Exp, Cha Federal Restrict'!H33+'Rev, Exp, Cha State Restr '!H33+'Rev, Exp, Cha Local Restr '!H33+'Rev, Exp, Cha Debt Service'!H31</f>
        <v>3396993.04</v>
      </c>
      <c r="J35" s="3">
        <f t="shared" ref="J35:J38" si="4">+(D35-H35)/H35+1</f>
        <v>1.3772584267643952</v>
      </c>
      <c r="K35" s="16" t="s">
        <v>140</v>
      </c>
    </row>
    <row r="36" spans="1:11" x14ac:dyDescent="0.25">
      <c r="A36" s="10" t="s">
        <v>52</v>
      </c>
      <c r="B36" s="6">
        <f>+'Rev, Exp, Cha Unrestricted'!B34+'Rev, Exp, Cha Federal Restrict'!B34+'Rev, Exp, Cha State Restr '!B34+'Rev, Exp, Cha Local Restr '!B34+'Rev, Exp, Cha Debt Service'!B32</f>
        <v>219317</v>
      </c>
      <c r="C36" s="6"/>
      <c r="D36" s="5">
        <f>+'Rev, Exp, Cha Unrestricted'!D34+'Rev, Exp, Cha Federal Restrict'!D34+'Rev, Exp, Cha State Restr '!D34+'Rev, Exp, Cha Local Restr '!D34+'Rev, Exp, Cha Debt Service'!D32</f>
        <v>563365.96</v>
      </c>
      <c r="F36" s="3">
        <f t="shared" si="3"/>
        <v>2.5687290998873777</v>
      </c>
      <c r="H36" s="5">
        <f>+'Rev, Exp, Cha Unrestricted'!H34+'Rev, Exp, Cha Federal Restrict'!H34+'Rev, Exp, Cha State Restr '!H34+'Rev, Exp, Cha Local Restr '!H34+'Rev, Exp, Cha Debt Service'!H32</f>
        <v>271125.40999999997</v>
      </c>
      <c r="J36" s="3">
        <f t="shared" si="4"/>
        <v>2.0778796056039157</v>
      </c>
      <c r="K36" s="16" t="s">
        <v>141</v>
      </c>
    </row>
    <row r="37" spans="1:11" ht="16.5" x14ac:dyDescent="0.35">
      <c r="A37" s="10" t="s">
        <v>54</v>
      </c>
      <c r="B37" s="26">
        <f>+'Rev, Exp, Cha Unrestricted'!B35+'Rev, Exp, Cha Federal Restrict'!B35+'Rev, Exp, Cha State Restr '!B35+'Rev, Exp, Cha Local Restr '!B35+'Rev, Exp, Cha Debt Service'!B33</f>
        <v>632248</v>
      </c>
      <c r="C37" s="6"/>
      <c r="D37" s="8">
        <f>+'Rev, Exp, Cha Unrestricted'!D35+'Rev, Exp, Cha Federal Restrict'!D35+'Rev, Exp, Cha State Restr '!D35+'Rev, Exp, Cha Local Restr '!D35+'Rev, Exp, Cha Debt Service'!D33</f>
        <v>746197.66</v>
      </c>
      <c r="F37" s="3">
        <f t="shared" si="3"/>
        <v>1.180229372018575</v>
      </c>
      <c r="H37" s="8">
        <f>+'Rev, Exp, Cha Unrestricted'!H35+'Rev, Exp, Cha Federal Restrict'!H35+'Rev, Exp, Cha State Restr '!H35+'Rev, Exp, Cha Local Restr '!H35+'Rev, Exp, Cha Debt Service'!H33</f>
        <v>182161.03999999998</v>
      </c>
      <c r="J37" s="3">
        <f t="shared" si="4"/>
        <v>4.096362537236284</v>
      </c>
      <c r="K37" s="16" t="s">
        <v>142</v>
      </c>
    </row>
    <row r="38" spans="1:11" ht="16.5" x14ac:dyDescent="0.35">
      <c r="A38" s="56" t="s">
        <v>55</v>
      </c>
      <c r="B38" s="26">
        <f>SUM(B11:B37)</f>
        <v>45107227</v>
      </c>
      <c r="C38" s="6"/>
      <c r="D38" s="8">
        <f>SUM(D11:D37)</f>
        <v>48411321.109999999</v>
      </c>
      <c r="F38" s="3">
        <f t="shared" si="3"/>
        <v>1.073249772370179</v>
      </c>
      <c r="H38" s="8">
        <f>SUM(H11:H37)</f>
        <v>42944099.530000001</v>
      </c>
      <c r="J38" s="3">
        <f t="shared" si="4"/>
        <v>1.1273101925488203</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13033691</v>
      </c>
      <c r="C41" s="6"/>
      <c r="D41" s="5">
        <f>+'Rev, Exp, Cha Unrestricted'!D39+'Rev, Exp, Cha Federal Restrict'!D39+'Rev, Exp, Cha State Restr '!D39+'Rev, Exp, Cha Local Restr '!D39</f>
        <v>12092967.970000001</v>
      </c>
      <c r="F41" s="3">
        <f t="shared" ref="F41:F52" si="5">+(D41-B41)/B41+1</f>
        <v>0.92782374309779181</v>
      </c>
      <c r="H41" s="5">
        <f>+'Rev, Exp, Cha Unrestricted'!H39+'Rev, Exp, Cha Federal Restrict'!H39+'Rev, Exp, Cha State Restr '!H39+'Rev, Exp, Cha Local Restr '!H39</f>
        <v>11443900.890000001</v>
      </c>
      <c r="J41" s="3">
        <f t="shared" ref="J41:J50" si="6">+(D41-H41)/H41+1</f>
        <v>1.0567172930138859</v>
      </c>
      <c r="K41" s="16" t="s">
        <v>143</v>
      </c>
    </row>
    <row r="42" spans="1:11" x14ac:dyDescent="0.25">
      <c r="A42" s="4" t="s">
        <v>58</v>
      </c>
      <c r="B42" s="6">
        <f>+'Rev, Exp, Cha Unrestricted'!B40+'Rev, Exp, Cha Federal Restrict'!B40+'Rev, Exp, Cha State Restr '!B40+'Rev, Exp, Cha Local Restr '!B40</f>
        <v>405549</v>
      </c>
      <c r="C42" s="6"/>
      <c r="D42" s="5">
        <f>+'Rev, Exp, Cha Unrestricted'!D40+'Rev, Exp, Cha Federal Restrict'!D40+'Rev, Exp, Cha State Restr '!D40+'Rev, Exp, Cha Local Restr '!D40</f>
        <v>159227.84</v>
      </c>
      <c r="F42" s="3">
        <f t="shared" si="5"/>
        <v>0.39262293828859152</v>
      </c>
      <c r="H42" s="5">
        <f>+'Rev, Exp, Cha Unrestricted'!H40+'Rev, Exp, Cha Federal Restrict'!H40+'Rev, Exp, Cha State Restr '!H40+'Rev, Exp, Cha Local Restr '!H40</f>
        <v>199427.38</v>
      </c>
      <c r="J42" s="3">
        <f t="shared" si="6"/>
        <v>0.79842517110739752</v>
      </c>
      <c r="K42" s="16" t="s">
        <v>146</v>
      </c>
    </row>
    <row r="43" spans="1:11" x14ac:dyDescent="0.25">
      <c r="A43" s="4" t="s">
        <v>59</v>
      </c>
      <c r="B43" s="6">
        <f>+'Rev, Exp, Cha Unrestricted'!B41+'Rev, Exp, Cha Federal Restrict'!B41+'Rev, Exp, Cha State Restr '!B41+'Rev, Exp, Cha Local Restr '!B41</f>
        <v>3449298</v>
      </c>
      <c r="C43" s="6"/>
      <c r="D43" s="5">
        <f>+'Rev, Exp, Cha Unrestricted'!D41+'Rev, Exp, Cha Federal Restrict'!D41+'Rev, Exp, Cha State Restr '!D41+'Rev, Exp, Cha Local Restr '!D41</f>
        <v>2812099.56</v>
      </c>
      <c r="F43" s="3">
        <f t="shared" si="5"/>
        <v>0.81526721089334697</v>
      </c>
      <c r="H43" s="5">
        <f>+'Rev, Exp, Cha Unrestricted'!H41+'Rev, Exp, Cha Federal Restrict'!H41+'Rev, Exp, Cha State Restr '!H41+'Rev, Exp, Cha Local Restr '!H41</f>
        <v>2991535.11</v>
      </c>
      <c r="J43" s="3">
        <f t="shared" si="6"/>
        <v>0.94001890554445144</v>
      </c>
      <c r="K43" s="16" t="s">
        <v>151</v>
      </c>
    </row>
    <row r="44" spans="1:11" x14ac:dyDescent="0.25">
      <c r="A44" s="4" t="s">
        <v>60</v>
      </c>
      <c r="B44" s="6">
        <f>+'Rev, Exp, Cha Unrestricted'!B42+'Rev, Exp, Cha Federal Restrict'!B42+'Rev, Exp, Cha State Restr '!B42+'Rev, Exp, Cha Local Restr '!B42</f>
        <v>3101192</v>
      </c>
      <c r="C44" s="6"/>
      <c r="D44" s="5">
        <f>+'Rev, Exp, Cha Unrestricted'!D42+'Rev, Exp, Cha Federal Restrict'!D42+'Rev, Exp, Cha State Restr '!D42+'Rev, Exp, Cha Local Restr '!D42</f>
        <v>2896203.7399999998</v>
      </c>
      <c r="F44" s="3">
        <f t="shared" si="5"/>
        <v>0.93390017128897529</v>
      </c>
      <c r="H44" s="5">
        <f>+'Rev, Exp, Cha Unrestricted'!H42+'Rev, Exp, Cha Federal Restrict'!H42+'Rev, Exp, Cha State Restr '!H42+'Rev, Exp, Cha Local Restr '!H42</f>
        <v>2968614.67</v>
      </c>
      <c r="J44" s="3">
        <f t="shared" si="6"/>
        <v>0.97560783798188255</v>
      </c>
      <c r="K44" s="16" t="s">
        <v>155</v>
      </c>
    </row>
    <row r="45" spans="1:11" x14ac:dyDescent="0.25">
      <c r="A45" s="4" t="s">
        <v>61</v>
      </c>
      <c r="B45" s="6">
        <f>+'Rev, Exp, Cha Unrestricted'!B43+'Rev, Exp, Cha Federal Restrict'!B43+'Rev, Exp, Cha State Restr '!B43+'Rev, Exp, Cha Local Restr '!B43</f>
        <v>8812458</v>
      </c>
      <c r="C45" s="6"/>
      <c r="D45" s="5">
        <f>+'Rev, Exp, Cha Unrestricted'!D43+'Rev, Exp, Cha Federal Restrict'!D43+'Rev, Exp, Cha State Restr '!D43+'Rev, Exp, Cha Local Restr '!D43</f>
        <v>8298731.4499999993</v>
      </c>
      <c r="F45" s="3">
        <f t="shared" si="5"/>
        <v>0.94170451081866136</v>
      </c>
      <c r="H45" s="5">
        <f>+'Rev, Exp, Cha Unrestricted'!H43+'Rev, Exp, Cha Federal Restrict'!H43+'Rev, Exp, Cha State Restr '!H43+'Rev, Exp, Cha Local Restr '!H43</f>
        <v>5890129.4500000002</v>
      </c>
      <c r="J45" s="3">
        <f t="shared" si="6"/>
        <v>1.4089217427980296</v>
      </c>
      <c r="K45" s="16" t="s">
        <v>160</v>
      </c>
    </row>
    <row r="46" spans="1:11" x14ac:dyDescent="0.25">
      <c r="A46" s="4" t="s">
        <v>62</v>
      </c>
      <c r="B46" s="6">
        <f>+'Rev, Exp, Cha Unrestricted'!B44+'Rev, Exp, Cha Federal Restrict'!B44+'Rev, Exp, Cha State Restr '!B44+'Rev, Exp, Cha Local Restr '!B44</f>
        <v>4872262</v>
      </c>
      <c r="C46" s="6"/>
      <c r="D46" s="5">
        <f>+'Rev, Exp, Cha Unrestricted'!D44+'Rev, Exp, Cha Federal Restrict'!D44+'Rev, Exp, Cha State Restr '!D44+'Rev, Exp, Cha Local Restr '!D44</f>
        <v>4359494.46</v>
      </c>
      <c r="F46" s="3">
        <f t="shared" si="5"/>
        <v>0.89475780653831838</v>
      </c>
      <c r="H46" s="5">
        <f>+'Rev, Exp, Cha Unrestricted'!H44+'Rev, Exp, Cha Federal Restrict'!H44+'Rev, Exp, Cha State Restr '!H44+'Rev, Exp, Cha Local Restr '!H44</f>
        <v>3479115.26</v>
      </c>
      <c r="J46" s="3">
        <f t="shared" si="6"/>
        <v>1.2530468622646322</v>
      </c>
      <c r="K46" s="16" t="s">
        <v>176</v>
      </c>
    </row>
    <row r="47" spans="1:11" x14ac:dyDescent="0.25">
      <c r="A47" s="4" t="s">
        <v>63</v>
      </c>
      <c r="B47" s="6">
        <f>+'Rev, Exp, Cha Unrestricted'!B45+'Rev, Exp, Cha Federal Restrict'!B45+'Rev, Exp, Cha State Restr '!B45+'Rev, Exp, Cha Local Restr '!B45</f>
        <v>3718024</v>
      </c>
      <c r="C47" s="6"/>
      <c r="D47" s="5">
        <f>+'Rev, Exp, Cha Unrestricted'!D45+'Rev, Exp, Cha Federal Restrict'!D45+'Rev, Exp, Cha State Restr '!D45+'Rev, Exp, Cha Local Restr '!D45</f>
        <v>7439923.7300000004</v>
      </c>
      <c r="F47" s="3">
        <f t="shared" si="5"/>
        <v>2.0010424166169987</v>
      </c>
      <c r="H47" s="5">
        <f>+'Rev, Exp, Cha Unrestricted'!H45+'Rev, Exp, Cha Federal Restrict'!H45+'Rev, Exp, Cha State Restr '!H45+'Rev, Exp, Cha Local Restr '!H45</f>
        <v>6252489.5099999998</v>
      </c>
      <c r="J47" s="3">
        <f t="shared" si="6"/>
        <v>1.1899138284200017</v>
      </c>
      <c r="K47" s="16" t="s">
        <v>183</v>
      </c>
    </row>
    <row r="48" spans="1:11" x14ac:dyDescent="0.25">
      <c r="A48" s="4" t="s">
        <v>64</v>
      </c>
      <c r="B48" s="6">
        <f>+'Rev, Exp, Cha Auxiliary'!B30</f>
        <v>3024121</v>
      </c>
      <c r="C48" s="6"/>
      <c r="D48" s="5">
        <f>+'Rev, Exp, Cha Auxiliary'!D30</f>
        <v>2280080.0300000003</v>
      </c>
      <c r="F48" s="3">
        <f t="shared" si="5"/>
        <v>0.75396455036025356</v>
      </c>
      <c r="H48" s="5">
        <f>+'Rev, Exp, Cha Auxiliary'!H30</f>
        <v>2294900.42</v>
      </c>
      <c r="J48" s="3">
        <f t="shared" si="6"/>
        <v>0.99354203351446524</v>
      </c>
      <c r="K48" s="16" t="s">
        <v>189</v>
      </c>
    </row>
    <row r="49" spans="1:11" x14ac:dyDescent="0.25">
      <c r="A49" s="4" t="s">
        <v>76</v>
      </c>
      <c r="B49" s="6">
        <f>+'Rev, Exp, Cha Unrestricted'!B47+'Rev, Exp, Cha Federal Restrict'!B47+'Rev, Exp, Cha State Restr '!B47+'Rev, Exp, Cha Local Restr '!B47</f>
        <v>1523912</v>
      </c>
      <c r="C49" s="6"/>
      <c r="D49" s="5">
        <f>+'Rev, Exp, Cha Unrestricted'!D47+'Rev, Exp, Cha Federal Restrict'!D47+'Rev, Exp, Cha State Restr '!D47+'Rev, Exp, Cha Local Restr '!D47</f>
        <v>1143798.05</v>
      </c>
      <c r="F49" s="3">
        <f t="shared" si="5"/>
        <v>0.75056699468210764</v>
      </c>
      <c r="H49" s="5">
        <f>+'Rev, Exp, Cha Unrestricted'!H47+'Rev, Exp, Cha Federal Restrict'!H47+'Rev, Exp, Cha State Restr '!H47+'Rev, Exp, Cha Local Restr '!H47</f>
        <v>1022220.77</v>
      </c>
      <c r="J49" s="3">
        <f t="shared" si="6"/>
        <v>1.1189344646166797</v>
      </c>
      <c r="K49" s="16" t="s">
        <v>191</v>
      </c>
    </row>
    <row r="50" spans="1:11" x14ac:dyDescent="0.25">
      <c r="A50" s="4" t="s">
        <v>50</v>
      </c>
      <c r="B50" s="6">
        <f>+'Rev, Exp, Cha Debt Service'!B40</f>
        <v>3049760</v>
      </c>
      <c r="C50" s="6"/>
      <c r="D50" s="5">
        <f>+'Rev, Exp, Cha Debt Service'!D40</f>
        <v>450075.9</v>
      </c>
      <c r="F50" s="3">
        <f t="shared" si="5"/>
        <v>0.14757748150674144</v>
      </c>
      <c r="H50" s="5">
        <f>+'Rev, Exp, Cha Debt Service'!H40</f>
        <v>284793.75</v>
      </c>
      <c r="J50" s="3">
        <f t="shared" si="6"/>
        <v>1.5803573638817565</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44999318</v>
      </c>
      <c r="C52" s="6"/>
      <c r="D52" s="8">
        <f>SUM(D41:D51)</f>
        <v>41932602.729999997</v>
      </c>
      <c r="F52" s="3">
        <f t="shared" si="5"/>
        <v>0.93184973892270984</v>
      </c>
      <c r="H52" s="8">
        <f>SUM(H41:H51)</f>
        <v>36827127.210000001</v>
      </c>
      <c r="J52" s="3">
        <f t="shared" ref="J52" si="7">+(D52-H52)/H52+1</f>
        <v>1.1386335537628811</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334092</v>
      </c>
      <c r="C55" s="6"/>
      <c r="D55" s="5">
        <f>+'Rev, Exp, Cha Unrestricted'!D53+'Rev, Exp, Cha Federal Restrict'!D52+'Rev, Exp, Cha State Restr '!D52+'Rev, Exp, Cha Local Restr '!D52+'Rev, Exp, Cha Auxiliary'!D33+'Rev, Exp, Cha Debt Service'!D43</f>
        <v>309363.48</v>
      </c>
      <c r="F55" s="3">
        <f t="shared" ref="F55:F56" si="8">+(D55-B55)/B55+1</f>
        <v>0.92598290291297003</v>
      </c>
      <c r="H55" s="5">
        <f>+'Rev, Exp, Cha Unrestricted'!H53+'Rev, Exp, Cha Federal Restrict'!H52+'Rev, Exp, Cha State Restr '!H52+'Rev, Exp, Cha Local Restr '!H52+'Rev, Exp, Cha Auxiliary'!H33+'Rev, Exp, Cha Debt Service'!H43</f>
        <v>279637.44</v>
      </c>
      <c r="J55" s="3">
        <f t="shared" ref="J55:J56" si="9">+(D55-H55)/H55+1</f>
        <v>1.1063020745719885</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-751357.4</v>
      </c>
      <c r="F56" s="3">
        <f t="shared" si="8"/>
        <v>1.6999036199095023</v>
      </c>
      <c r="H56" s="8">
        <f>+'Rev, Exp, Cha Unrestricted'!H54+'Rev, Exp, Cha Federal Restrict'!H53+'Rev, Exp, Cha State Restr '!H53+'Rev, Exp, Cha Local Restr '!H53+'Rev, Exp, Cha Debt Service'!H44</f>
        <v>-721633.72</v>
      </c>
      <c r="J56" s="3">
        <f t="shared" si="9"/>
        <v>1.0411894277889344</v>
      </c>
    </row>
    <row r="57" spans="1:11" ht="16.5" x14ac:dyDescent="0.35">
      <c r="A57" s="56" t="s">
        <v>55</v>
      </c>
      <c r="B57" s="26">
        <f>SUM(B55:B56)</f>
        <v>-107908</v>
      </c>
      <c r="C57" s="6"/>
      <c r="D57" s="8">
        <f>SUM(D55:D56)</f>
        <v>-441993.92000000004</v>
      </c>
      <c r="F57" s="3"/>
      <c r="G57" s="26">
        <f>SUM(G55:G56)</f>
        <v>0</v>
      </c>
      <c r="H57" s="8">
        <f>SUM(H55:H56)</f>
        <v>-441996.27999999997</v>
      </c>
      <c r="J57" s="3"/>
    </row>
    <row r="58" spans="1:11" ht="3.95" customHeight="1" x14ac:dyDescent="0.25">
      <c r="B58" s="6"/>
      <c r="C58" s="6"/>
      <c r="D58" s="6"/>
      <c r="F58" s="3"/>
      <c r="H58" s="6"/>
      <c r="J58" s="3"/>
    </row>
    <row r="59" spans="1:11" ht="16.5" x14ac:dyDescent="0.35">
      <c r="A59" s="4" t="s">
        <v>397</v>
      </c>
      <c r="B59" s="34">
        <f>+B38-B52+B57</f>
        <v>1</v>
      </c>
      <c r="C59" s="6"/>
      <c r="D59" s="9">
        <f>+D38-D52+D57</f>
        <v>6036724.4600000028</v>
      </c>
      <c r="F59" s="3"/>
      <c r="H59" s="9">
        <f>+H38-H52+H57</f>
        <v>5674976.04</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1"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zoomScaleNormal="100" workbookViewId="0">
      <selection activeCell="H24" sqref="H24"/>
    </sheetView>
  </sheetViews>
  <sheetFormatPr defaultRowHeight="15" x14ac:dyDescent="0.25"/>
  <cols>
    <col min="1" max="1" width="6.5703125" style="43" customWidth="1"/>
    <col min="2" max="2" width="33.28515625" style="2" customWidth="1"/>
    <col min="3" max="8" width="9.140625" style="2"/>
  </cols>
  <sheetData>
    <row r="1" spans="1:8" ht="15.75" x14ac:dyDescent="0.25">
      <c r="A1" s="133" t="s">
        <v>0</v>
      </c>
      <c r="B1" s="133"/>
      <c r="C1" s="133"/>
      <c r="D1" s="133"/>
      <c r="E1" s="133"/>
      <c r="F1" s="133"/>
      <c r="G1" s="133"/>
      <c r="H1" s="133"/>
    </row>
    <row r="2" spans="1:8" x14ac:dyDescent="0.25">
      <c r="A2" s="134" t="s">
        <v>395</v>
      </c>
      <c r="B2" s="134"/>
      <c r="C2" s="134"/>
      <c r="D2" s="134"/>
      <c r="E2" s="134"/>
      <c r="F2" s="134"/>
      <c r="G2" s="134"/>
      <c r="H2" s="134"/>
    </row>
    <row r="3" spans="1:8" x14ac:dyDescent="0.25">
      <c r="A3" s="135" t="str">
        <f>+'Statement of Net Position'!A3:E3</f>
        <v>June 30, 2024</v>
      </c>
      <c r="B3" s="135"/>
      <c r="C3" s="135"/>
      <c r="D3" s="135"/>
      <c r="E3" s="135"/>
      <c r="F3" s="135"/>
      <c r="G3" s="135"/>
      <c r="H3" s="135"/>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6" t="s">
        <v>205</v>
      </c>
      <c r="C9" s="136"/>
      <c r="D9" s="136"/>
      <c r="E9" s="136"/>
      <c r="F9" s="136"/>
      <c r="G9" s="136"/>
      <c r="H9" s="136"/>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6" t="s">
        <v>248</v>
      </c>
      <c r="C13" s="136"/>
      <c r="D13" s="136"/>
      <c r="E13" s="136"/>
      <c r="F13" s="136"/>
      <c r="G13" s="136"/>
      <c r="H13" s="136"/>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6" t="s">
        <v>249</v>
      </c>
      <c r="C18" s="136"/>
      <c r="D18" s="136"/>
      <c r="E18" s="136"/>
      <c r="F18" s="136"/>
      <c r="G18" s="136"/>
      <c r="H18" s="136"/>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6" t="s">
        <v>285</v>
      </c>
      <c r="C34" s="136"/>
      <c r="D34" s="136"/>
      <c r="E34" s="136"/>
      <c r="F34" s="136"/>
      <c r="G34" s="136"/>
      <c r="H34" s="136"/>
    </row>
    <row r="35" spans="1:8" s="65" customFormat="1" ht="15" customHeight="1" x14ac:dyDescent="0.25">
      <c r="B35" s="75" t="s">
        <v>121</v>
      </c>
    </row>
    <row r="36" spans="1:8" s="65" customFormat="1" ht="15" customHeight="1" x14ac:dyDescent="0.25">
      <c r="A36" s="64" t="s">
        <v>122</v>
      </c>
      <c r="B36" s="136" t="s">
        <v>250</v>
      </c>
      <c r="C36" s="136"/>
      <c r="D36" s="136"/>
      <c r="E36" s="136"/>
      <c r="F36" s="136"/>
      <c r="G36" s="136"/>
      <c r="H36" s="136"/>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7" t="s">
        <v>228</v>
      </c>
      <c r="C50" s="137"/>
      <c r="D50" s="137"/>
      <c r="E50" s="137"/>
      <c r="F50" s="137"/>
      <c r="G50" s="137"/>
      <c r="H50" s="137"/>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6" t="s">
        <v>64</v>
      </c>
      <c r="C66" s="136"/>
      <c r="D66" s="136"/>
      <c r="E66" s="136"/>
      <c r="F66" s="136"/>
      <c r="G66" s="136"/>
      <c r="H66" s="136"/>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6" t="s">
        <v>243</v>
      </c>
      <c r="C90" s="136"/>
      <c r="D90" s="136"/>
      <c r="E90" s="136"/>
      <c r="F90" s="136"/>
      <c r="G90" s="136"/>
      <c r="H90" s="136"/>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7" t="s">
        <v>286</v>
      </c>
      <c r="C103" s="137"/>
      <c r="D103" s="137"/>
      <c r="E103" s="137"/>
      <c r="F103" s="137"/>
      <c r="G103" s="137"/>
      <c r="H103" s="137"/>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7" t="s">
        <v>289</v>
      </c>
      <c r="C107" s="137"/>
      <c r="D107" s="137"/>
      <c r="E107" s="137"/>
      <c r="F107" s="137"/>
      <c r="G107" s="137"/>
      <c r="H107" s="137"/>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6" t="s">
        <v>245</v>
      </c>
      <c r="C185" s="136"/>
      <c r="D185" s="136"/>
      <c r="E185" s="136"/>
      <c r="F185" s="136"/>
      <c r="G185" s="136"/>
      <c r="H185" s="136"/>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1" t="s">
        <v>358</v>
      </c>
      <c r="C195" s="131"/>
      <c r="D195" s="131"/>
      <c r="E195" s="131"/>
      <c r="F195" s="131"/>
      <c r="G195" s="131"/>
      <c r="H195" s="131"/>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1" t="s">
        <v>246</v>
      </c>
      <c r="C200" s="131"/>
      <c r="D200" s="131"/>
      <c r="E200" s="131"/>
      <c r="F200" s="131"/>
      <c r="G200" s="131"/>
      <c r="H200" s="131"/>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20" zoomScaleNormal="100" workbookViewId="0">
      <selection activeCell="H62" sqref="H62"/>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June 30, 2024</v>
      </c>
      <c r="B3" s="130"/>
      <c r="C3" s="130"/>
      <c r="D3" s="130"/>
      <c r="E3" s="130"/>
      <c r="F3" s="130"/>
      <c r="G3" s="130"/>
      <c r="H3" s="130"/>
      <c r="I3" s="130"/>
      <c r="J3" s="130"/>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45107</v>
      </c>
      <c r="K7" s="11"/>
    </row>
    <row r="8" spans="1:11" s="1" customFormat="1" x14ac:dyDescent="0.25">
      <c r="A8" s="4"/>
      <c r="B8" s="22" t="s">
        <v>33</v>
      </c>
      <c r="C8" s="80"/>
      <c r="D8" s="28" t="s">
        <v>35</v>
      </c>
      <c r="E8" s="87"/>
      <c r="F8" s="22" t="s">
        <v>33</v>
      </c>
      <c r="G8" s="87"/>
      <c r="H8" s="24">
        <f>+'Revenues, Expenditures, Changes'!H9</f>
        <v>45107</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5334445.84</v>
      </c>
      <c r="E10" s="4"/>
      <c r="F10" s="3">
        <f>+(D10-B10)/B10+1</f>
        <v>0.9999999700062574</v>
      </c>
      <c r="G10" s="4"/>
      <c r="H10" s="32">
        <v>4132692</v>
      </c>
      <c r="I10" s="4"/>
      <c r="J10" s="3">
        <f t="shared" ref="J10" si="0">+(D10-H10)/H10+1</f>
        <v>1.2907920164386797</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1338549</v>
      </c>
      <c r="C12" s="6"/>
      <c r="D12" s="5">
        <v>1338552</v>
      </c>
      <c r="E12" s="4"/>
      <c r="F12" s="3">
        <f>+(D12-B12)/B12+1</f>
        <v>1.0000022412328573</v>
      </c>
      <c r="G12" s="4"/>
      <c r="H12" s="5">
        <v>1241545.3999999999</v>
      </c>
      <c r="I12" s="4"/>
      <c r="J12" s="3">
        <f t="shared" ref="J12:J13" si="1">+(D12-H12)/H12+1</f>
        <v>1.0781337516936553</v>
      </c>
      <c r="K12" s="11"/>
    </row>
    <row r="13" spans="1:11" s="1" customFormat="1" x14ac:dyDescent="0.25">
      <c r="A13" s="10" t="s">
        <v>94</v>
      </c>
      <c r="B13" s="6">
        <v>518434</v>
      </c>
      <c r="C13" s="6"/>
      <c r="D13" s="5">
        <v>518434.65</v>
      </c>
      <c r="E13" s="4"/>
      <c r="F13" s="3">
        <f>+(D13-B13)/B13+1</f>
        <v>1.0000012537757941</v>
      </c>
      <c r="G13" s="4"/>
      <c r="H13" s="5">
        <v>430500.98</v>
      </c>
      <c r="I13" s="4"/>
      <c r="J13" s="3">
        <f t="shared" si="1"/>
        <v>1.2042589310714229</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13969259.92</v>
      </c>
      <c r="E15" s="4"/>
      <c r="F15" s="3">
        <f>+(D15-B15)/B15+1</f>
        <v>1.0165676500120728</v>
      </c>
      <c r="G15" s="4"/>
      <c r="H15" s="5">
        <v>13561167.359999999</v>
      </c>
      <c r="I15" s="4"/>
      <c r="J15" s="3">
        <f t="shared" ref="J15" si="2">+(D15-H15)/H15+1</f>
        <v>1.0300927308959928</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3794091.28</v>
      </c>
      <c r="E18" s="4"/>
      <c r="F18" s="3">
        <f>+(D18-B18)/B18+1</f>
        <v>0.88727489916669722</v>
      </c>
      <c r="G18" s="4"/>
      <c r="H18" s="5">
        <v>3809971.33</v>
      </c>
      <c r="I18" s="4"/>
      <c r="J18" s="3">
        <f t="shared" ref="J18:J22" si="3">+(D18-H18)/H18+1</f>
        <v>0.9958319765099124</v>
      </c>
      <c r="K18" s="11"/>
    </row>
    <row r="19" spans="1:11" s="1" customFormat="1" x14ac:dyDescent="0.25">
      <c r="A19" s="10" t="s">
        <v>43</v>
      </c>
      <c r="B19" s="6">
        <f>515915+196345+215000+35000+122400+496200+10955</f>
        <v>1591815</v>
      </c>
      <c r="C19" s="6"/>
      <c r="D19" s="5">
        <v>1214867.45</v>
      </c>
      <c r="E19" s="4"/>
      <c r="F19" s="3">
        <f>+(D19-B19)/B19+1</f>
        <v>0.76319638274548229</v>
      </c>
      <c r="G19" s="4"/>
      <c r="H19" s="5">
        <v>1049151.6499999999</v>
      </c>
      <c r="I19" s="4"/>
      <c r="J19" s="3">
        <f t="shared" si="3"/>
        <v>1.1579521892759737</v>
      </c>
      <c r="K19" s="11"/>
    </row>
    <row r="20" spans="1:11" s="1" customFormat="1" x14ac:dyDescent="0.25">
      <c r="A20" s="10" t="s">
        <v>75</v>
      </c>
      <c r="B20" s="6">
        <v>-220000</v>
      </c>
      <c r="C20" s="6"/>
      <c r="D20" s="5">
        <v>-127075</v>
      </c>
      <c r="E20" s="4"/>
      <c r="F20" s="3">
        <f>+(D20-B20)/B20+1</f>
        <v>0.57761363636363638</v>
      </c>
      <c r="G20" s="4"/>
      <c r="H20" s="5">
        <v>-101891</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4422473.3600000003</v>
      </c>
      <c r="E22" s="4"/>
      <c r="F22" s="3">
        <f>+(D22-B22)/B22+1</f>
        <v>0.88709350112088381</v>
      </c>
      <c r="G22" s="4"/>
      <c r="H22" s="5">
        <v>4266712.74</v>
      </c>
      <c r="I22" s="4"/>
      <c r="J22" s="3">
        <f t="shared" si="3"/>
        <v>1.0365060011047287</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-160630.98000000001</v>
      </c>
      <c r="E25" s="4"/>
      <c r="F25" s="3">
        <f>+(D25-B25)/B25+1</f>
        <v>0.53543660000000004</v>
      </c>
      <c r="G25" s="4"/>
      <c r="H25" s="5">
        <v>-193314.55</v>
      </c>
      <c r="I25" s="4"/>
      <c r="J25" s="3">
        <f t="shared" ref="J25:J30" si="4">+(D25-H25)/H25+1</f>
        <v>0.83093062575993382</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458152.68</v>
      </c>
      <c r="E27" s="4"/>
      <c r="F27" s="3">
        <f>+(D27-B27)/B27+1</f>
        <v>1.0576936111662611</v>
      </c>
      <c r="G27" s="4"/>
      <c r="H27" s="5">
        <v>439951.01</v>
      </c>
      <c r="I27" s="4"/>
      <c r="J27" s="3">
        <f t="shared" si="4"/>
        <v>1.0413720382185279</v>
      </c>
      <c r="K27" s="11"/>
    </row>
    <row r="28" spans="1:11" s="1" customFormat="1" x14ac:dyDescent="0.25">
      <c r="A28" s="4" t="s">
        <v>47</v>
      </c>
      <c r="B28" s="6">
        <v>800000</v>
      </c>
      <c r="C28" s="6"/>
      <c r="D28" s="5">
        <v>636496.27</v>
      </c>
      <c r="E28" s="4"/>
      <c r="F28" s="3">
        <f>+(D28-B28)/B28+1</f>
        <v>0.79562033750000005</v>
      </c>
      <c r="G28" s="4"/>
      <c r="H28" s="5">
        <v>445286.01</v>
      </c>
      <c r="I28" s="4"/>
      <c r="J28" s="3">
        <f t="shared" si="4"/>
        <v>1.4294099875268931</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113131.42</v>
      </c>
      <c r="E30" s="4"/>
      <c r="F30" s="3">
        <f>+(D30-B30)/B30+1</f>
        <v>0.99368836187966625</v>
      </c>
      <c r="G30" s="4"/>
      <c r="H30" s="5">
        <v>110094.6</v>
      </c>
      <c r="I30" s="4"/>
      <c r="J30" s="3">
        <f t="shared" si="4"/>
        <v>1.027583732535474</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586362</v>
      </c>
      <c r="C35" s="6"/>
      <c r="D35" s="33">
        <v>635750.99</v>
      </c>
      <c r="E35" s="4"/>
      <c r="F35" s="3">
        <f>+(D35-B35)/B35+1</f>
        <v>1.0842295203304444</v>
      </c>
      <c r="G35" s="4"/>
      <c r="H35" s="33">
        <v>111067.43</v>
      </c>
      <c r="I35" s="4"/>
      <c r="J35" s="3">
        <f t="shared" ref="J35:J36" si="8">+(D35-H35)/H35+1</f>
        <v>5.7240091897327607</v>
      </c>
      <c r="K35" s="38"/>
    </row>
    <row r="36" spans="1:11" s="1" customFormat="1" ht="16.5" x14ac:dyDescent="0.35">
      <c r="A36" s="80" t="s">
        <v>55</v>
      </c>
      <c r="B36" s="26">
        <f>SUM(B10:B35)</f>
        <v>33199681</v>
      </c>
      <c r="C36" s="6"/>
      <c r="D36" s="8">
        <f>SUM(D10:D35)</f>
        <v>32147949.879999999</v>
      </c>
      <c r="E36" s="4"/>
      <c r="F36" s="3">
        <f>+(D36-B36)/B36+1</f>
        <v>0.96832104742211222</v>
      </c>
      <c r="G36" s="4"/>
      <c r="H36" s="8">
        <f>SUM(H10:H35)</f>
        <v>29302934.960000005</v>
      </c>
      <c r="I36" s="4"/>
      <c r="J36" s="3">
        <f t="shared" si="8"/>
        <v>1.097089759912568</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12135936</v>
      </c>
      <c r="C39" s="6"/>
      <c r="D39" s="90">
        <v>10264229.08</v>
      </c>
      <c r="E39" s="4"/>
      <c r="F39" s="3">
        <f t="shared" ref="F39:F49" si="9">+(D39-B39)/B39+1</f>
        <v>0.84577152351495588</v>
      </c>
      <c r="G39" s="4"/>
      <c r="H39" s="90">
        <v>9341036.9299999997</v>
      </c>
      <c r="I39" s="4"/>
      <c r="J39" s="3">
        <f t="shared" ref="J39:J50" si="10">+(D39-H39)/H39+1</f>
        <v>1.0988318702643221</v>
      </c>
      <c r="K39" s="11"/>
    </row>
    <row r="40" spans="1:11" s="1" customFormat="1" x14ac:dyDescent="0.25">
      <c r="A40" s="4" t="s">
        <v>58</v>
      </c>
      <c r="B40" s="6">
        <v>405549</v>
      </c>
      <c r="C40" s="6"/>
      <c r="D40" s="90">
        <v>159227.84</v>
      </c>
      <c r="E40" s="4"/>
      <c r="F40" s="3">
        <f t="shared" si="9"/>
        <v>0.39262293828859152</v>
      </c>
      <c r="G40" s="4"/>
      <c r="H40" s="90">
        <v>199427.38</v>
      </c>
      <c r="I40" s="4"/>
      <c r="J40" s="3">
        <f t="shared" si="10"/>
        <v>0.79842517110739752</v>
      </c>
      <c r="K40" s="11"/>
    </row>
    <row r="41" spans="1:11" s="1" customFormat="1" x14ac:dyDescent="0.25">
      <c r="A41" s="4" t="s">
        <v>59</v>
      </c>
      <c r="B41" s="6">
        <v>3439257</v>
      </c>
      <c r="C41" s="6"/>
      <c r="D41" s="90">
        <v>2780710.79</v>
      </c>
      <c r="E41" s="4"/>
      <c r="F41" s="3">
        <f t="shared" si="9"/>
        <v>0.80852079097316665</v>
      </c>
      <c r="G41" s="4"/>
      <c r="H41" s="90">
        <v>2807982.61</v>
      </c>
      <c r="I41" s="4"/>
      <c r="J41" s="3">
        <f t="shared" si="10"/>
        <v>0.99028775324217555</v>
      </c>
      <c r="K41" s="11"/>
    </row>
    <row r="42" spans="1:11" s="1" customFormat="1" x14ac:dyDescent="0.25">
      <c r="A42" s="4" t="s">
        <v>60</v>
      </c>
      <c r="B42" s="6">
        <v>2672914</v>
      </c>
      <c r="C42" s="6"/>
      <c r="D42" s="90">
        <v>2087380.14</v>
      </c>
      <c r="E42" s="4"/>
      <c r="F42" s="3">
        <f t="shared" si="9"/>
        <v>0.78093800997712604</v>
      </c>
      <c r="G42" s="4"/>
      <c r="H42" s="90">
        <v>2156490.19</v>
      </c>
      <c r="I42" s="4"/>
      <c r="J42" s="3">
        <f t="shared" si="10"/>
        <v>0.96795253216524024</v>
      </c>
      <c r="K42" s="11"/>
    </row>
    <row r="43" spans="1:11" s="1" customFormat="1" x14ac:dyDescent="0.25">
      <c r="A43" s="4" t="s">
        <v>61</v>
      </c>
      <c r="B43" s="6">
        <v>6964578</v>
      </c>
      <c r="C43" s="6"/>
      <c r="D43" s="90">
        <v>6046519.71</v>
      </c>
      <c r="E43" s="4"/>
      <c r="F43" s="3">
        <f t="shared" si="9"/>
        <v>0.86818177784784667</v>
      </c>
      <c r="G43" s="4"/>
      <c r="H43" s="90">
        <v>5424204.6500000004</v>
      </c>
      <c r="I43" s="4"/>
      <c r="J43" s="3">
        <f t="shared" si="10"/>
        <v>1.1147292737194199</v>
      </c>
      <c r="K43" s="11"/>
    </row>
    <row r="44" spans="1:11" s="1" customFormat="1" x14ac:dyDescent="0.25">
      <c r="A44" s="4" t="s">
        <v>62</v>
      </c>
      <c r="B44" s="6">
        <v>4872262</v>
      </c>
      <c r="C44" s="6"/>
      <c r="D44" s="90">
        <v>4359494.46</v>
      </c>
      <c r="E44" s="4"/>
      <c r="F44" s="3">
        <f t="shared" si="9"/>
        <v>0.89475780653831838</v>
      </c>
      <c r="G44" s="4"/>
      <c r="H44" s="90">
        <v>3479115.26</v>
      </c>
      <c r="I44" s="4"/>
      <c r="J44" s="3">
        <f t="shared" si="10"/>
        <v>1.2530468622646322</v>
      </c>
      <c r="K44" s="11"/>
    </row>
    <row r="45" spans="1:11" s="1" customFormat="1" x14ac:dyDescent="0.25">
      <c r="A45" s="4" t="s">
        <v>63</v>
      </c>
      <c r="B45" s="6">
        <v>158000</v>
      </c>
      <c r="C45" s="6"/>
      <c r="D45" s="90">
        <v>184958.5</v>
      </c>
      <c r="E45" s="4"/>
      <c r="F45" s="3">
        <f t="shared" si="9"/>
        <v>1.1706234177215189</v>
      </c>
      <c r="G45" s="4"/>
      <c r="H45" s="90">
        <v>127159.97</v>
      </c>
      <c r="I45" s="4"/>
      <c r="J45" s="3">
        <f t="shared" si="10"/>
        <v>1.4545340015415229</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1523912</v>
      </c>
      <c r="C47" s="6"/>
      <c r="D47" s="5">
        <v>1143798.05</v>
      </c>
      <c r="E47" s="4"/>
      <c r="F47" s="3">
        <f t="shared" si="9"/>
        <v>0.75056699468210764</v>
      </c>
      <c r="G47" s="4"/>
      <c r="H47" s="5">
        <v>1022220.77</v>
      </c>
      <c r="I47" s="4"/>
      <c r="J47" s="3">
        <f t="shared" si="10"/>
        <v>1.1189344646166797</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32181459</v>
      </c>
      <c r="C50" s="6"/>
      <c r="D50" s="8">
        <f>SUM(D39:D49)</f>
        <v>27026318.570000004</v>
      </c>
      <c r="E50" s="4"/>
      <c r="F50" s="3">
        <f>+(D50-B50)/B50+1</f>
        <v>0.83981023265601484</v>
      </c>
      <c r="G50" s="4"/>
      <c r="H50" s="8">
        <f>SUM(H39:H49)</f>
        <v>24557637.759999994</v>
      </c>
      <c r="I50" s="4"/>
      <c r="J50" s="3">
        <f t="shared" si="10"/>
        <v>1.1005259884572876</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-751357.4</v>
      </c>
      <c r="E54" s="4"/>
      <c r="F54" s="3">
        <f>+(D54-B54)/B54+1</f>
        <v>1.6999036199095023</v>
      </c>
      <c r="G54" s="4"/>
      <c r="H54" s="33">
        <v>-721633.72</v>
      </c>
      <c r="I54" s="4"/>
      <c r="J54" s="3">
        <f t="shared" ref="J54:J55" si="12">+(D54-H54)/H54+1</f>
        <v>1.0411894277889344</v>
      </c>
      <c r="K54" s="11"/>
    </row>
    <row r="55" spans="1:11" s="1" customFormat="1" ht="16.5" x14ac:dyDescent="0.35">
      <c r="A55" s="80" t="s">
        <v>55</v>
      </c>
      <c r="B55" s="26">
        <f>SUM(B53:B54)</f>
        <v>-442000</v>
      </c>
      <c r="C55" s="6"/>
      <c r="D55" s="8">
        <f>SUM(D53:D54)</f>
        <v>-751357.4</v>
      </c>
      <c r="E55" s="4"/>
      <c r="F55" s="3">
        <f>+(D55-B55)/B55+1</f>
        <v>1.6999036199095023</v>
      </c>
      <c r="G55" s="26">
        <f>SUM(G53:G54)</f>
        <v>0</v>
      </c>
      <c r="H55" s="8">
        <f>SUM(H53:H54)</f>
        <v>-721633.72</v>
      </c>
      <c r="I55" s="4"/>
      <c r="J55" s="3">
        <f t="shared" si="12"/>
        <v>1.0411894277889344</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576222</v>
      </c>
      <c r="C57" s="6"/>
      <c r="D57" s="9">
        <f>+D36-D50+D55</f>
        <v>4370273.9099999946</v>
      </c>
      <c r="E57" s="4"/>
      <c r="F57" s="4"/>
      <c r="G57" s="4"/>
      <c r="H57" s="9">
        <f>+H36-H50+H55</f>
        <v>4023663.4800000107</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M64" sqref="M64"/>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June 30, 2024</v>
      </c>
      <c r="B3" s="130"/>
      <c r="C3" s="130"/>
      <c r="D3" s="130"/>
      <c r="E3" s="130"/>
      <c r="F3" s="130"/>
      <c r="G3" s="130"/>
      <c r="H3" s="130"/>
      <c r="I3" s="130"/>
      <c r="J3" s="130"/>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45107</v>
      </c>
      <c r="K7" s="11"/>
    </row>
    <row r="8" spans="1:11" s="1" customFormat="1" x14ac:dyDescent="0.25">
      <c r="A8" s="4"/>
      <c r="B8" s="22" t="s">
        <v>33</v>
      </c>
      <c r="C8" s="80"/>
      <c r="D8" s="28" t="s">
        <v>35</v>
      </c>
      <c r="E8" s="87"/>
      <c r="F8" s="22" t="s">
        <v>33</v>
      </c>
      <c r="G8" s="87"/>
      <c r="H8" s="24">
        <f>+'Revenues, Expenditures, Changes'!H9</f>
        <v>45107</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v>3312156</v>
      </c>
      <c r="C31" s="6"/>
      <c r="D31" s="7">
        <v>6514408.75</v>
      </c>
      <c r="E31" s="4"/>
      <c r="F31" s="3">
        <f t="shared" si="0"/>
        <v>1.9668182144802357</v>
      </c>
      <c r="G31" s="4"/>
      <c r="H31" s="7">
        <v>5670942.0599999996</v>
      </c>
      <c r="I31" s="4"/>
      <c r="J31" s="3">
        <f t="shared" ref="J31:J33" si="1">+D31/H31</f>
        <v>1.1487348453001123</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v>3032524</v>
      </c>
      <c r="C33" s="6"/>
      <c r="D33" s="97">
        <v>4678537.29</v>
      </c>
      <c r="E33" s="4"/>
      <c r="F33" s="3">
        <f>+(D33-B33)/B33+1</f>
        <v>1.5427865665696299</v>
      </c>
      <c r="G33" s="4"/>
      <c r="H33" s="8">
        <v>3396993.04</v>
      </c>
      <c r="I33" s="4"/>
      <c r="J33" s="3">
        <f t="shared" si="1"/>
        <v>1.377258426764395</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6344680</v>
      </c>
      <c r="C36" s="6"/>
      <c r="D36" s="83">
        <f>SUM(D10:D35)</f>
        <v>11192946.039999999</v>
      </c>
      <c r="E36" s="4"/>
      <c r="F36" s="3">
        <f>+(D36-B36)/B36+1</f>
        <v>1.764146661454951</v>
      </c>
      <c r="G36" s="4"/>
      <c r="H36" s="8">
        <f>SUM(H10:H35)</f>
        <v>9067935.0999999996</v>
      </c>
      <c r="I36" s="4"/>
      <c r="J36" s="3">
        <f t="shared" ref="J36" si="3">+D36/H36</f>
        <v>1.2343434218006257</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v>771482</v>
      </c>
      <c r="C39" s="6"/>
      <c r="D39" s="81">
        <v>1615470.54</v>
      </c>
      <c r="E39" s="4"/>
      <c r="F39" s="3">
        <f t="shared" ref="F39:F47" si="4">+(D39-B39)/B39+1</f>
        <v>2.0939834500351271</v>
      </c>
      <c r="G39" s="4"/>
      <c r="H39" s="81">
        <v>1979743.14</v>
      </c>
      <c r="I39" s="4"/>
      <c r="J39" s="3">
        <f t="shared" ref="J39:J49" si="5">+D39/H39</f>
        <v>0.81600006958478466</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v>8625</v>
      </c>
      <c r="C41" s="6"/>
      <c r="D41" s="81">
        <v>26215.58</v>
      </c>
      <c r="E41" s="4"/>
      <c r="F41" s="3">
        <f t="shared" si="4"/>
        <v>3.0394875362318841</v>
      </c>
      <c r="G41" s="4"/>
      <c r="H41" s="81">
        <v>177782.5</v>
      </c>
      <c r="I41" s="4"/>
      <c r="J41" s="3">
        <f t="shared" si="5"/>
        <v>0.14745872062773333</v>
      </c>
      <c r="K41" s="11"/>
    </row>
    <row r="42" spans="1:11" s="1" customFormat="1" x14ac:dyDescent="0.25">
      <c r="A42" s="4" t="s">
        <v>60</v>
      </c>
      <c r="B42" s="6">
        <v>428278</v>
      </c>
      <c r="C42" s="6"/>
      <c r="D42" s="81">
        <v>808823.6</v>
      </c>
      <c r="E42" s="4"/>
      <c r="F42" s="3">
        <f t="shared" si="4"/>
        <v>1.8885480925940628</v>
      </c>
      <c r="G42" s="4"/>
      <c r="H42" s="81">
        <v>812124.48</v>
      </c>
      <c r="I42" s="4"/>
      <c r="J42" s="3">
        <f t="shared" si="5"/>
        <v>0.99593549993715247</v>
      </c>
      <c r="K42" s="11"/>
    </row>
    <row r="43" spans="1:11" s="1" customFormat="1" x14ac:dyDescent="0.25">
      <c r="A43" s="4" t="s">
        <v>61</v>
      </c>
      <c r="B43" s="6">
        <v>1824139</v>
      </c>
      <c r="C43" s="6"/>
      <c r="D43" s="81">
        <v>2228027.5699999998</v>
      </c>
      <c r="E43" s="4"/>
      <c r="F43" s="3">
        <f t="shared" si="4"/>
        <v>1.2214132640111306</v>
      </c>
      <c r="G43" s="4"/>
      <c r="H43" s="81">
        <v>465924.8</v>
      </c>
      <c r="I43" s="4"/>
      <c r="J43" s="3">
        <f t="shared" si="5"/>
        <v>4.7819467218744309</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v>3312156</v>
      </c>
      <c r="C45" s="6"/>
      <c r="D45" s="82">
        <v>6514408.75</v>
      </c>
      <c r="E45" s="4"/>
      <c r="F45" s="3">
        <f t="shared" si="4"/>
        <v>1.9668182144802357</v>
      </c>
      <c r="G45" s="4"/>
      <c r="H45" s="82">
        <v>5632360.1799999997</v>
      </c>
      <c r="I45" s="4"/>
      <c r="J45" s="3">
        <f t="shared" si="5"/>
        <v>1.1566037223848138</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6344680</v>
      </c>
      <c r="C49" s="6"/>
      <c r="D49" s="83">
        <f>SUM(D39:D48)</f>
        <v>11192946.039999999</v>
      </c>
      <c r="E49" s="4"/>
      <c r="F49" s="3">
        <f>+(D49-B49)/B49+1</f>
        <v>1.764146661454951</v>
      </c>
      <c r="G49" s="4"/>
      <c r="H49" s="83">
        <f>SUM(H39:H48)</f>
        <v>9067935.0999999996</v>
      </c>
      <c r="I49" s="4"/>
      <c r="J49" s="3">
        <f t="shared" si="5"/>
        <v>1.2343434218006257</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D54" sqref="D54"/>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June 30, 2024</v>
      </c>
      <c r="B3" s="130"/>
      <c r="C3" s="130"/>
      <c r="D3" s="130"/>
      <c r="E3" s="130"/>
      <c r="F3" s="130"/>
      <c r="G3" s="130"/>
      <c r="H3" s="130"/>
      <c r="I3" s="130"/>
      <c r="J3" s="130"/>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45107</v>
      </c>
      <c r="K7" s="11"/>
      <c r="L7" s="11"/>
    </row>
    <row r="8" spans="1:12" s="1" customFormat="1" x14ac:dyDescent="0.25">
      <c r="A8" s="4"/>
      <c r="B8" s="22" t="s">
        <v>33</v>
      </c>
      <c r="C8" s="80"/>
      <c r="D8" s="28" t="s">
        <v>35</v>
      </c>
      <c r="E8" s="87"/>
      <c r="F8" s="22" t="s">
        <v>33</v>
      </c>
      <c r="G8" s="87"/>
      <c r="H8" s="24">
        <f>+'Revenues, Expenditures, Changes'!H9</f>
        <v>45107</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3"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3</v>
      </c>
      <c r="C28" s="6"/>
      <c r="D28" s="7">
        <v>6.08</v>
      </c>
      <c r="E28" s="4"/>
      <c r="F28" s="3">
        <f t="shared" si="0"/>
        <v>2.0266666666666664</v>
      </c>
      <c r="G28" s="4"/>
      <c r="H28" s="7">
        <v>3.72</v>
      </c>
      <c r="I28" s="4"/>
      <c r="J28" s="3">
        <f t="shared" ref="J28:J33" si="1">+D28/H28</f>
        <v>1.6344086021505375</v>
      </c>
      <c r="K28" s="11"/>
      <c r="L28" s="11"/>
    </row>
    <row r="29" spans="1:12" s="1" customFormat="1" hidden="1" x14ac:dyDescent="0.25">
      <c r="A29" s="4" t="s">
        <v>64</v>
      </c>
      <c r="B29" s="6">
        <v>0</v>
      </c>
      <c r="C29" s="6"/>
      <c r="D29" s="5">
        <v>0</v>
      </c>
      <c r="E29" s="4"/>
      <c r="F29" s="3" t="e">
        <f t="shared" si="0"/>
        <v>#DIV/0!</v>
      </c>
      <c r="G29" s="4"/>
      <c r="H29" s="6">
        <v>0</v>
      </c>
      <c r="I29" s="4"/>
      <c r="J29" s="3" t="e">
        <f t="shared" si="1"/>
        <v>#DIV/0!</v>
      </c>
      <c r="K29" s="11"/>
      <c r="L29" s="11"/>
    </row>
    <row r="30" spans="1:12" s="1" customFormat="1" hidden="1" x14ac:dyDescent="0.25">
      <c r="A30" s="4" t="s">
        <v>74</v>
      </c>
      <c r="B30" s="6">
        <v>0</v>
      </c>
      <c r="C30" s="6"/>
      <c r="D30" s="5">
        <v>0</v>
      </c>
      <c r="E30" s="4"/>
      <c r="F30" s="3" t="e">
        <f t="shared" si="0"/>
        <v>#DIV/0!</v>
      </c>
      <c r="G30" s="4"/>
      <c r="H30" s="6">
        <v>0</v>
      </c>
      <c r="I30" s="4"/>
      <c r="J30" s="3" t="e">
        <f t="shared" si="1"/>
        <v>#DIV/0!</v>
      </c>
      <c r="K30" s="11"/>
      <c r="L30" s="11"/>
    </row>
    <row r="31" spans="1:12" s="1" customFormat="1" hidden="1" x14ac:dyDescent="0.25">
      <c r="A31" s="4" t="s">
        <v>63</v>
      </c>
      <c r="B31" s="84">
        <v>0</v>
      </c>
      <c r="C31" s="6"/>
      <c r="D31" s="5">
        <v>0</v>
      </c>
      <c r="E31" s="4"/>
      <c r="F31" s="3" t="e">
        <f t="shared" si="0"/>
        <v>#DIV/0!</v>
      </c>
      <c r="G31" s="4"/>
      <c r="H31" s="5">
        <v>0</v>
      </c>
      <c r="I31" s="4"/>
      <c r="J31" s="3" t="e">
        <f t="shared" si="1"/>
        <v>#DIV/0!</v>
      </c>
      <c r="K31" s="11"/>
      <c r="L31" s="11"/>
    </row>
    <row r="32" spans="1:12" s="1" customFormat="1" hidden="1" x14ac:dyDescent="0.25">
      <c r="A32" s="4" t="s">
        <v>51</v>
      </c>
      <c r="B32" s="6"/>
      <c r="C32" s="6"/>
      <c r="D32" s="5"/>
      <c r="E32" s="4"/>
      <c r="F32" s="3" t="e">
        <f t="shared" si="0"/>
        <v>#DIV/0!</v>
      </c>
      <c r="G32" s="4"/>
      <c r="H32" s="5"/>
      <c r="I32" s="4"/>
      <c r="J32" s="3" t="e">
        <f t="shared" si="1"/>
        <v>#DIV/0!</v>
      </c>
      <c r="K32" s="11"/>
      <c r="L32" s="11"/>
    </row>
    <row r="33" spans="1:12" s="1" customFormat="1" hidden="1" x14ac:dyDescent="0.25">
      <c r="A33" s="10" t="s">
        <v>53</v>
      </c>
      <c r="B33" s="6">
        <v>0</v>
      </c>
      <c r="C33" s="6"/>
      <c r="D33" s="5">
        <v>0</v>
      </c>
      <c r="E33" s="4"/>
      <c r="F33" s="3" t="e">
        <f t="shared" si="0"/>
        <v>#DIV/0!</v>
      </c>
      <c r="G33" s="4"/>
      <c r="H33" s="5">
        <v>0</v>
      </c>
      <c r="I33" s="4"/>
      <c r="J33" s="3" t="e">
        <f t="shared" si="1"/>
        <v>#DIV/0!</v>
      </c>
      <c r="K33" s="11"/>
      <c r="L33" s="11"/>
    </row>
    <row r="34" spans="1:12" s="1" customFormat="1" ht="16.5" x14ac:dyDescent="0.35">
      <c r="A34" s="29" t="s">
        <v>52</v>
      </c>
      <c r="B34" s="79">
        <v>219317</v>
      </c>
      <c r="C34" s="81"/>
      <c r="D34" s="98">
        <v>563365.96</v>
      </c>
      <c r="E34" s="4"/>
      <c r="F34" s="3">
        <f t="shared" ref="F34:F36" si="2">+(D34-B34)/B34+1</f>
        <v>2.5687290998873777</v>
      </c>
      <c r="G34" s="4"/>
      <c r="H34" s="98">
        <v>271125.40999999997</v>
      </c>
      <c r="I34" s="4"/>
      <c r="J34" s="3">
        <f>+D34/H34</f>
        <v>2.0778796056039162</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219320</v>
      </c>
      <c r="C36" s="6"/>
      <c r="D36" s="8">
        <f>SUM(D10:D35)</f>
        <v>563372.03999999992</v>
      </c>
      <c r="E36" s="4"/>
      <c r="F36" s="3">
        <f t="shared" si="2"/>
        <v>2.5687216852088266</v>
      </c>
      <c r="G36" s="4"/>
      <c r="H36" s="8">
        <f>SUM(H10:H35)</f>
        <v>271129.12999999995</v>
      </c>
      <c r="I36" s="4"/>
      <c r="J36" s="3">
        <f>+D36/H36</f>
        <v>2.0778735210045487</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81803</v>
      </c>
      <c r="C39" s="6"/>
      <c r="D39" s="5">
        <v>107994.87</v>
      </c>
      <c r="E39" s="4"/>
      <c r="F39" s="3">
        <f>+(D39-B39)/B39+1</f>
        <v>1.3201822671540162</v>
      </c>
      <c r="G39" s="4"/>
      <c r="H39" s="5">
        <v>57797.21</v>
      </c>
      <c r="I39" s="4"/>
      <c r="J39" s="3">
        <f>+D39/H39</f>
        <v>1.8685135493564482</v>
      </c>
      <c r="K39" s="11"/>
      <c r="L39" s="11"/>
    </row>
    <row r="40" spans="1:12" s="1" customFormat="1" hidden="1" x14ac:dyDescent="0.25">
      <c r="A40" s="4" t="s">
        <v>58</v>
      </c>
      <c r="B40" s="6">
        <f t="shared" ref="B40:B44" si="3">+D40</f>
        <v>0</v>
      </c>
      <c r="C40" s="6"/>
      <c r="D40" s="5">
        <v>0</v>
      </c>
      <c r="E40" s="4"/>
      <c r="F40" s="3" t="e">
        <f t="shared" ref="F40:F43" si="4">+(D40-B40)/B40+1</f>
        <v>#DIV/0!</v>
      </c>
      <c r="G40" s="4"/>
      <c r="H40" s="5">
        <v>0</v>
      </c>
      <c r="I40" s="4"/>
      <c r="J40" s="3" t="e">
        <f t="shared" ref="J40:J42" si="5">+D40/H40</f>
        <v>#DIV/0!</v>
      </c>
      <c r="K40" s="11"/>
      <c r="L40" s="11"/>
    </row>
    <row r="41" spans="1:12" s="1" customFormat="1" hidden="1" x14ac:dyDescent="0.25">
      <c r="A41" s="4" t="s">
        <v>59</v>
      </c>
      <c r="B41" s="6">
        <f t="shared" si="3"/>
        <v>0</v>
      </c>
      <c r="C41" s="6"/>
      <c r="D41" s="5">
        <v>0</v>
      </c>
      <c r="E41" s="4"/>
      <c r="F41" s="3" t="e">
        <f t="shared" si="4"/>
        <v>#DIV/0!</v>
      </c>
      <c r="G41" s="4"/>
      <c r="H41" s="5">
        <v>0</v>
      </c>
      <c r="I41" s="4"/>
      <c r="J41" s="3" t="e">
        <f t="shared" si="5"/>
        <v>#DIV/0!</v>
      </c>
      <c r="K41" s="11"/>
      <c r="L41" s="11"/>
    </row>
    <row r="42" spans="1:12" s="1" customFormat="1" hidden="1" x14ac:dyDescent="0.25">
      <c r="A42" s="4" t="s">
        <v>60</v>
      </c>
      <c r="B42" s="6">
        <f t="shared" si="3"/>
        <v>0</v>
      </c>
      <c r="C42" s="6"/>
      <c r="D42" s="5">
        <v>0</v>
      </c>
      <c r="E42" s="4"/>
      <c r="F42" s="3" t="e">
        <f t="shared" si="4"/>
        <v>#DIV/0!</v>
      </c>
      <c r="G42" s="4"/>
      <c r="H42" s="5">
        <v>0</v>
      </c>
      <c r="I42" s="4"/>
      <c r="J42" s="3" t="e">
        <f t="shared" si="5"/>
        <v>#DIV/0!</v>
      </c>
      <c r="K42" s="11"/>
      <c r="L42" s="11"/>
    </row>
    <row r="43" spans="1:12" s="1" customFormat="1" x14ac:dyDescent="0.25">
      <c r="A43" s="4" t="s">
        <v>61</v>
      </c>
      <c r="B43" s="6">
        <v>23741</v>
      </c>
      <c r="C43" s="6"/>
      <c r="D43" s="5">
        <v>24184.17</v>
      </c>
      <c r="E43" s="4"/>
      <c r="F43" s="3">
        <f t="shared" si="4"/>
        <v>1.0186668632323828</v>
      </c>
      <c r="G43" s="4"/>
      <c r="H43" s="5">
        <v>0</v>
      </c>
      <c r="I43" s="4"/>
      <c r="J43" s="3">
        <v>0</v>
      </c>
      <c r="K43" s="11"/>
      <c r="L43" s="11"/>
    </row>
    <row r="44" spans="1:12" s="1" customFormat="1" hidden="1" x14ac:dyDescent="0.25">
      <c r="A44" s="4" t="s">
        <v>62</v>
      </c>
      <c r="B44" s="6">
        <f t="shared" si="3"/>
        <v>0</v>
      </c>
      <c r="C44" s="6"/>
      <c r="D44" s="5">
        <v>0</v>
      </c>
      <c r="E44" s="4"/>
      <c r="F44" s="3" t="e">
        <f t="shared" ref="F44:F47" si="6">+(D44-B44)/B44+1</f>
        <v>#DIV/0!</v>
      </c>
      <c r="G44" s="4"/>
      <c r="H44" s="5">
        <v>0</v>
      </c>
      <c r="I44" s="4"/>
      <c r="J44" s="3" t="e">
        <f t="shared" ref="J44:J48" si="7">+D44/H44</f>
        <v>#DIV/0!</v>
      </c>
      <c r="K44" s="11"/>
      <c r="L44" s="11"/>
    </row>
    <row r="45" spans="1:12" s="1" customFormat="1" ht="16.5" x14ac:dyDescent="0.35">
      <c r="A45" s="4" t="s">
        <v>63</v>
      </c>
      <c r="B45" s="26">
        <v>247868</v>
      </c>
      <c r="C45" s="6"/>
      <c r="D45" s="8">
        <v>740556.48</v>
      </c>
      <c r="E45" s="4"/>
      <c r="F45" s="3">
        <f t="shared" si="6"/>
        <v>2.9877050688269562</v>
      </c>
      <c r="G45" s="4"/>
      <c r="H45" s="8">
        <v>492969.36</v>
      </c>
      <c r="I45" s="4"/>
      <c r="J45" s="3">
        <f>+D45/H45</f>
        <v>1.502236325600439</v>
      </c>
      <c r="K45" s="11"/>
      <c r="L45" s="11"/>
    </row>
    <row r="46" spans="1:12" s="1" customFormat="1" hidden="1" x14ac:dyDescent="0.25">
      <c r="A46" s="4" t="s">
        <v>64</v>
      </c>
      <c r="B46" s="6">
        <v>0</v>
      </c>
      <c r="C46" s="6"/>
      <c r="D46" s="5">
        <v>0</v>
      </c>
      <c r="E46" s="4"/>
      <c r="F46" s="3" t="e">
        <f t="shared" si="6"/>
        <v>#DIV/0!</v>
      </c>
      <c r="G46" s="4"/>
      <c r="H46" s="5">
        <v>0</v>
      </c>
      <c r="I46" s="4"/>
      <c r="J46" s="3" t="e">
        <f t="shared" si="7"/>
        <v>#DIV/0!</v>
      </c>
      <c r="K46" s="11"/>
      <c r="L46" s="11"/>
    </row>
    <row r="47" spans="1:12" s="1" customFormat="1" hidden="1" x14ac:dyDescent="0.25">
      <c r="A47" s="4" t="s">
        <v>76</v>
      </c>
      <c r="B47" s="6">
        <v>0</v>
      </c>
      <c r="C47" s="6"/>
      <c r="D47" s="5">
        <v>0</v>
      </c>
      <c r="E47" s="4"/>
      <c r="F47" s="3" t="e">
        <f t="shared" si="6"/>
        <v>#DIV/0!</v>
      </c>
      <c r="G47" s="4"/>
      <c r="H47" s="5">
        <v>0</v>
      </c>
      <c r="I47" s="4"/>
      <c r="J47" s="3" t="e">
        <f t="shared" si="7"/>
        <v>#DIV/0!</v>
      </c>
      <c r="K47" s="11"/>
      <c r="L47" s="11"/>
    </row>
    <row r="48" spans="1:12" s="1" customFormat="1" hidden="1" x14ac:dyDescent="0.25">
      <c r="A48" s="4" t="s">
        <v>50</v>
      </c>
      <c r="B48" s="27">
        <v>0</v>
      </c>
      <c r="C48" s="6"/>
      <c r="D48" s="33">
        <v>0</v>
      </c>
      <c r="E48" s="4"/>
      <c r="F48" s="3" t="e">
        <f>+(D48-B48)/B48+1</f>
        <v>#DIV/0!</v>
      </c>
      <c r="G48" s="4"/>
      <c r="H48" s="33">
        <v>0</v>
      </c>
      <c r="I48" s="4"/>
      <c r="J48" s="3" t="e">
        <f t="shared" si="7"/>
        <v>#DIV/0!</v>
      </c>
      <c r="K48" s="11"/>
      <c r="L48" s="11"/>
    </row>
    <row r="49" spans="1:12" s="1" customFormat="1" ht="16.5" x14ac:dyDescent="0.35">
      <c r="A49" s="56" t="s">
        <v>55</v>
      </c>
      <c r="B49" s="26">
        <f>SUM(B39:B48)</f>
        <v>353412</v>
      </c>
      <c r="C49" s="6"/>
      <c r="D49" s="8">
        <f>SUM(D39:D48)</f>
        <v>872735.52</v>
      </c>
      <c r="E49" s="4"/>
      <c r="F49" s="3">
        <f>+(D49-B49)/B49+1</f>
        <v>2.4694563851821671</v>
      </c>
      <c r="G49" s="4"/>
      <c r="H49" s="8">
        <f>SUM(H39:H48)</f>
        <v>550766.56999999995</v>
      </c>
      <c r="I49" s="4"/>
      <c r="J49" s="3">
        <f>+D49/H49</f>
        <v>1.5845833199353405</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134092</v>
      </c>
      <c r="C52" s="6"/>
      <c r="D52" s="8">
        <v>309363.48</v>
      </c>
      <c r="E52" s="4"/>
      <c r="F52" s="3">
        <f>+(D52-B52)/B52+1</f>
        <v>2.3070987083494909</v>
      </c>
      <c r="G52" s="4"/>
      <c r="H52" s="8">
        <v>279637.44</v>
      </c>
      <c r="I52" s="4"/>
      <c r="J52" s="3">
        <f>+D52/H52</f>
        <v>1.1063020745719885</v>
      </c>
      <c r="K52" s="11"/>
      <c r="L52" s="11"/>
    </row>
    <row r="53" spans="1:12" s="1" customFormat="1" hidden="1" x14ac:dyDescent="0.25">
      <c r="A53" s="4" t="s">
        <v>67</v>
      </c>
      <c r="B53" s="27">
        <v>0</v>
      </c>
      <c r="C53" s="6"/>
      <c r="D53" s="33">
        <v>0</v>
      </c>
      <c r="E53" s="4"/>
      <c r="F53" s="3" t="e">
        <f t="shared" ref="F53" si="8">+(D53-B53)/B53+1</f>
        <v>#DIV/0!</v>
      </c>
      <c r="G53" s="4"/>
      <c r="H53" s="27">
        <v>0</v>
      </c>
      <c r="I53" s="4"/>
      <c r="J53" s="3" t="e">
        <f t="shared" ref="J53" si="9">+(H53-D53)/D53+1</f>
        <v>#DIV/0!</v>
      </c>
      <c r="K53" s="11"/>
      <c r="L53" s="11"/>
    </row>
    <row r="54" spans="1:12" s="1" customFormat="1" ht="16.5" x14ac:dyDescent="0.35">
      <c r="A54" s="56" t="s">
        <v>55</v>
      </c>
      <c r="B54" s="26">
        <f>SUM(B52:B53)</f>
        <v>134092</v>
      </c>
      <c r="C54" s="6"/>
      <c r="D54" s="8">
        <f>SUM(D52:D53)</f>
        <v>309363.48</v>
      </c>
      <c r="E54" s="4"/>
      <c r="F54" s="3"/>
      <c r="G54" s="26">
        <f>SUM(G52:G53)</f>
        <v>0</v>
      </c>
      <c r="H54" s="8">
        <f>SUM(H52:H53)</f>
        <v>279637.44</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D49" sqref="D49"/>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June 30, 2024</v>
      </c>
      <c r="B3" s="130"/>
      <c r="C3" s="130"/>
      <c r="D3" s="130"/>
      <c r="E3" s="130"/>
      <c r="F3" s="130"/>
      <c r="G3" s="130"/>
      <c r="H3" s="130"/>
      <c r="I3" s="130"/>
      <c r="J3" s="130"/>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45107</v>
      </c>
      <c r="K7" s="11"/>
      <c r="L7" s="11"/>
    </row>
    <row r="8" spans="1:12" s="1" customFormat="1" x14ac:dyDescent="0.25">
      <c r="A8" s="4"/>
      <c r="B8" s="22" t="s">
        <v>33</v>
      </c>
      <c r="C8" s="56"/>
      <c r="D8" s="28" t="s">
        <v>35</v>
      </c>
      <c r="E8" s="87"/>
      <c r="F8" s="22" t="s">
        <v>33</v>
      </c>
      <c r="G8" s="87"/>
      <c r="H8" s="24">
        <f>+'Revenues, Expenditures, Changes'!H9</f>
        <v>45107</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v>45886</v>
      </c>
      <c r="C35" s="6"/>
      <c r="D35" s="85">
        <v>110446.67</v>
      </c>
      <c r="E35" s="4"/>
      <c r="F35" s="3">
        <f>+(D35-B35)/B35+1+0.0008</f>
        <v>2.4077796887939673</v>
      </c>
      <c r="G35" s="4"/>
      <c r="H35" s="85">
        <v>71093.61</v>
      </c>
      <c r="I35" s="4"/>
      <c r="J35" s="3">
        <f t="shared" ref="J35:J36" si="1">+D35/H35</f>
        <v>1.5535386372980637</v>
      </c>
      <c r="K35" s="11"/>
      <c r="L35" s="11"/>
    </row>
    <row r="36" spans="1:12" s="1" customFormat="1" ht="16.5" x14ac:dyDescent="0.35">
      <c r="A36" s="56" t="s">
        <v>55</v>
      </c>
      <c r="B36" s="26">
        <f>SUM(B10:B35)</f>
        <v>45886</v>
      </c>
      <c r="C36" s="6"/>
      <c r="D36" s="8">
        <f>SUM(D10:D35)</f>
        <v>110446.67</v>
      </c>
      <c r="E36" s="4"/>
      <c r="F36" s="3">
        <f>+(D36-B36)/B36+1+0.0008</f>
        <v>2.4077796887939673</v>
      </c>
      <c r="G36" s="4"/>
      <c r="H36" s="8">
        <f>SUM(H10:H35)</f>
        <v>71093.61</v>
      </c>
      <c r="I36" s="4"/>
      <c r="J36" s="3">
        <f t="shared" si="1"/>
        <v>1.5535386372980637</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v>44470</v>
      </c>
      <c r="C39" s="6"/>
      <c r="D39" s="5">
        <v>105273.48</v>
      </c>
      <c r="E39" s="4"/>
      <c r="F39" s="3">
        <f>+(D39-B39)/B39+1</f>
        <v>2.3672921070384527</v>
      </c>
      <c r="G39" s="4"/>
      <c r="H39" s="5">
        <v>65323.61</v>
      </c>
      <c r="I39" s="4"/>
      <c r="J39" s="3">
        <f t="shared" ref="J39:J49" si="2">+D39/H39</f>
        <v>1.6115686196767141</v>
      </c>
      <c r="K39" s="11"/>
      <c r="L39" s="11"/>
    </row>
    <row r="40" spans="1:12" s="1" customFormat="1" x14ac:dyDescent="0.25">
      <c r="A40" s="4" t="s">
        <v>58</v>
      </c>
      <c r="B40" s="6">
        <v>0</v>
      </c>
      <c r="C40" s="6"/>
      <c r="D40" s="5">
        <v>0</v>
      </c>
      <c r="E40" s="4"/>
      <c r="F40" s="3">
        <v>0</v>
      </c>
      <c r="G40" s="4"/>
      <c r="H40" s="5">
        <v>0</v>
      </c>
      <c r="I40" s="4"/>
      <c r="J40" s="3">
        <v>0</v>
      </c>
      <c r="K40" s="11"/>
      <c r="L40" s="11"/>
    </row>
    <row r="41" spans="1:12" s="1" customFormat="1" ht="16.5" x14ac:dyDescent="0.35">
      <c r="A41" s="4" t="s">
        <v>59</v>
      </c>
      <c r="B41" s="8">
        <v>1416</v>
      </c>
      <c r="C41" s="6"/>
      <c r="D41" s="8">
        <v>5173.1899999999996</v>
      </c>
      <c r="E41" s="4"/>
      <c r="F41" s="3">
        <f t="shared" ref="F41" si="3">+(D41-B41)/B41+1</f>
        <v>3.6533827683615816</v>
      </c>
      <c r="G41" s="4"/>
      <c r="H41" s="8">
        <v>5770</v>
      </c>
      <c r="I41" s="4"/>
      <c r="J41" s="3">
        <f t="shared" si="2"/>
        <v>0.89656672443674168</v>
      </c>
      <c r="K41" s="11"/>
      <c r="L41" s="11"/>
    </row>
    <row r="42" spans="1:12" s="1" customFormat="1" hidden="1" x14ac:dyDescent="0.25">
      <c r="A42" s="4" t="s">
        <v>60</v>
      </c>
      <c r="B42" s="6">
        <v>0</v>
      </c>
      <c r="C42" s="6"/>
      <c r="D42" s="5">
        <v>0</v>
      </c>
      <c r="E42" s="4"/>
      <c r="F42" s="3">
        <v>0</v>
      </c>
      <c r="G42" s="4"/>
      <c r="H42" s="5">
        <v>0</v>
      </c>
      <c r="I42" s="4"/>
      <c r="J42" s="3" t="e">
        <f t="shared" si="2"/>
        <v>#DIV/0!</v>
      </c>
      <c r="K42" s="11"/>
      <c r="L42" s="11"/>
    </row>
    <row r="43" spans="1:12" s="1" customFormat="1" hidden="1" x14ac:dyDescent="0.25">
      <c r="A43" s="4" t="s">
        <v>61</v>
      </c>
      <c r="B43" s="6">
        <v>0</v>
      </c>
      <c r="C43" s="6"/>
      <c r="D43" s="5">
        <v>0</v>
      </c>
      <c r="E43" s="4"/>
      <c r="F43" s="3">
        <v>0</v>
      </c>
      <c r="G43" s="4"/>
      <c r="H43" s="5">
        <v>0</v>
      </c>
      <c r="I43" s="4"/>
      <c r="J43" s="3" t="e">
        <f t="shared" si="2"/>
        <v>#DIV/0!</v>
      </c>
      <c r="K43" s="11"/>
      <c r="L43" s="11"/>
    </row>
    <row r="44" spans="1:12" s="1" customFormat="1" hidden="1" x14ac:dyDescent="0.25">
      <c r="A44" s="4" t="s">
        <v>62</v>
      </c>
      <c r="B44" s="6">
        <v>0</v>
      </c>
      <c r="C44" s="6"/>
      <c r="D44" s="5">
        <v>0</v>
      </c>
      <c r="E44" s="4"/>
      <c r="F44" s="3">
        <v>0</v>
      </c>
      <c r="G44" s="4"/>
      <c r="H44" s="5">
        <v>0</v>
      </c>
      <c r="I44" s="4"/>
      <c r="J44" s="3" t="e">
        <f t="shared" si="2"/>
        <v>#DIV/0!</v>
      </c>
      <c r="K44" s="11"/>
      <c r="L44" s="11"/>
    </row>
    <row r="45" spans="1:12" s="1" customFormat="1" ht="16.5" hidden="1" x14ac:dyDescent="0.35">
      <c r="A45" s="4" t="s">
        <v>63</v>
      </c>
      <c r="B45" s="26">
        <v>0</v>
      </c>
      <c r="C45" s="6"/>
      <c r="D45" s="8">
        <v>0</v>
      </c>
      <c r="E45" s="4"/>
      <c r="F45" s="3">
        <v>0</v>
      </c>
      <c r="G45" s="4"/>
      <c r="H45" s="8">
        <v>0</v>
      </c>
      <c r="I45" s="4"/>
      <c r="J45" s="3" t="e">
        <f t="shared" si="2"/>
        <v>#DIV/0!</v>
      </c>
      <c r="K45" s="11"/>
      <c r="L45" s="11"/>
    </row>
    <row r="46" spans="1:12" s="1" customFormat="1" hidden="1" x14ac:dyDescent="0.25">
      <c r="A46" s="4" t="s">
        <v>64</v>
      </c>
      <c r="B46" s="6">
        <v>0</v>
      </c>
      <c r="C46" s="6"/>
      <c r="D46" s="5">
        <v>0</v>
      </c>
      <c r="E46" s="4"/>
      <c r="F46" s="3">
        <v>0</v>
      </c>
      <c r="G46" s="4"/>
      <c r="H46" s="5">
        <v>0</v>
      </c>
      <c r="I46" s="4"/>
      <c r="J46" s="3" t="e">
        <f t="shared" si="2"/>
        <v>#DIV/0!</v>
      </c>
      <c r="K46" s="11"/>
      <c r="L46" s="11"/>
    </row>
    <row r="47" spans="1:12" s="1" customFormat="1" hidden="1" x14ac:dyDescent="0.25">
      <c r="A47" s="4" t="s">
        <v>76</v>
      </c>
      <c r="B47" s="6">
        <v>0</v>
      </c>
      <c r="C47" s="6"/>
      <c r="D47" s="5">
        <v>0</v>
      </c>
      <c r="E47" s="4"/>
      <c r="F47" s="3">
        <v>0</v>
      </c>
      <c r="G47" s="4"/>
      <c r="H47" s="5">
        <v>0</v>
      </c>
      <c r="I47" s="4"/>
      <c r="J47" s="3" t="e">
        <f t="shared" si="2"/>
        <v>#DIV/0!</v>
      </c>
      <c r="K47" s="11"/>
      <c r="L47" s="11"/>
    </row>
    <row r="48" spans="1:12" s="1" customFormat="1" hidden="1" x14ac:dyDescent="0.25">
      <c r="A48" s="4" t="s">
        <v>50</v>
      </c>
      <c r="B48" s="27">
        <v>0</v>
      </c>
      <c r="C48" s="6"/>
      <c r="D48" s="33">
        <v>0</v>
      </c>
      <c r="E48" s="4"/>
      <c r="F48" s="3">
        <v>0</v>
      </c>
      <c r="G48" s="4"/>
      <c r="H48" s="33">
        <v>0</v>
      </c>
      <c r="I48" s="4"/>
      <c r="J48" s="3" t="e">
        <f t="shared" si="2"/>
        <v>#DIV/0!</v>
      </c>
      <c r="K48" s="11"/>
      <c r="L48" s="11"/>
    </row>
    <row r="49" spans="1:12" s="1" customFormat="1" ht="16.5" x14ac:dyDescent="0.35">
      <c r="A49" s="56" t="s">
        <v>55</v>
      </c>
      <c r="B49" s="26">
        <f>SUM(B39:B48)</f>
        <v>45886</v>
      </c>
      <c r="C49" s="6"/>
      <c r="D49" s="8">
        <f>SUM(D39:D48)</f>
        <v>110446.67</v>
      </c>
      <c r="E49" s="4"/>
      <c r="F49" s="3">
        <f>+(D49-B49)/B49+1+0.0008</f>
        <v>2.4077796887939673</v>
      </c>
      <c r="G49" s="4"/>
      <c r="H49" s="8">
        <f>SUM(H39:H48)</f>
        <v>71093.61</v>
      </c>
      <c r="I49" s="4"/>
      <c r="J49" s="3">
        <f t="shared" si="2"/>
        <v>1.5535386372980637</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4">+(D52-B52)/B52+1</f>
        <v>#DIV/0!</v>
      </c>
      <c r="G52" s="4"/>
      <c r="H52" s="5">
        <v>0</v>
      </c>
      <c r="I52" s="4"/>
      <c r="J52" s="3" t="e">
        <f t="shared" ref="J52:J53" si="5">+(H52-D52)/D52+1</f>
        <v>#DIV/0!</v>
      </c>
      <c r="K52" s="11"/>
      <c r="L52" s="11"/>
    </row>
    <row r="53" spans="1:12" s="1" customFormat="1" hidden="1" x14ac:dyDescent="0.25">
      <c r="A53" s="4" t="s">
        <v>67</v>
      </c>
      <c r="B53" s="27">
        <v>0</v>
      </c>
      <c r="C53" s="6"/>
      <c r="D53" s="33">
        <v>0</v>
      </c>
      <c r="E53" s="4"/>
      <c r="F53" s="4" t="e">
        <f t="shared" si="4"/>
        <v>#DIV/0!</v>
      </c>
      <c r="G53" s="4"/>
      <c r="H53" s="33">
        <v>0</v>
      </c>
      <c r="I53" s="4"/>
      <c r="J53" s="3" t="e">
        <f t="shared" si="5"/>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f>
        <v>0</v>
      </c>
      <c r="C56" s="6"/>
      <c r="D56" s="9">
        <f>D36-D49</f>
        <v>0</v>
      </c>
      <c r="E56" s="4"/>
      <c r="F56" s="4"/>
      <c r="G56" s="4"/>
      <c r="H56" s="9">
        <f>H36-H49</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O37" sqref="O37"/>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June 30, 2024</v>
      </c>
      <c r="B3" s="130"/>
      <c r="C3" s="130"/>
      <c r="D3" s="130"/>
      <c r="E3" s="130"/>
      <c r="F3" s="130"/>
      <c r="G3" s="130"/>
      <c r="H3" s="130"/>
      <c r="I3" s="130"/>
      <c r="J3" s="130"/>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45107</v>
      </c>
      <c r="K7" s="11"/>
    </row>
    <row r="8" spans="1:11" s="1" customFormat="1" x14ac:dyDescent="0.25">
      <c r="A8" s="4"/>
      <c r="B8" s="22" t="s">
        <v>33</v>
      </c>
      <c r="C8" s="56"/>
      <c r="D8" s="23" t="s">
        <v>35</v>
      </c>
      <c r="E8" s="87"/>
      <c r="F8" s="22" t="s">
        <v>33</v>
      </c>
      <c r="G8" s="87"/>
      <c r="H8" s="24">
        <f>+'Revenues, Expenditures, Changes'!H9</f>
        <v>45107</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1498762.26</v>
      </c>
      <c r="E10" s="4"/>
      <c r="F10" s="3">
        <f>+D10/B10</f>
        <v>0.61226449609869682</v>
      </c>
      <c r="G10" s="4"/>
      <c r="H10" s="5">
        <v>1583590.17</v>
      </c>
      <c r="I10" s="4"/>
      <c r="J10" s="3">
        <f>+D10/H10</f>
        <v>0.94643316711166503</v>
      </c>
      <c r="K10" s="11"/>
    </row>
    <row r="11" spans="1:11" s="1" customFormat="1" hidden="1" x14ac:dyDescent="0.25">
      <c r="A11" s="4" t="s">
        <v>74</v>
      </c>
      <c r="B11" s="52">
        <v>0</v>
      </c>
      <c r="C11" s="6"/>
      <c r="D11" s="5">
        <v>0</v>
      </c>
      <c r="E11" s="4"/>
      <c r="F11" s="3" t="e">
        <f t="shared" ref="F11" si="0">+D11/B11</f>
        <v>#DIV/0!</v>
      </c>
      <c r="G11" s="4"/>
      <c r="H11" s="5">
        <v>0</v>
      </c>
      <c r="I11" s="4"/>
      <c r="J11" s="3">
        <v>0</v>
      </c>
      <c r="K11" s="11"/>
    </row>
    <row r="12" spans="1:11" s="1" customFormat="1" ht="16.5" x14ac:dyDescent="0.35">
      <c r="A12" s="4" t="s">
        <v>78</v>
      </c>
      <c r="B12" s="55">
        <v>0</v>
      </c>
      <c r="C12" s="6"/>
      <c r="D12" s="33">
        <v>566.61</v>
      </c>
      <c r="E12" s="4"/>
      <c r="F12" s="3">
        <v>0</v>
      </c>
      <c r="G12" s="4"/>
      <c r="H12" s="8">
        <v>308.77</v>
      </c>
      <c r="I12" s="4"/>
      <c r="J12" s="3">
        <f>+D12/H12</f>
        <v>1.8350552190951195</v>
      </c>
      <c r="K12" s="11"/>
    </row>
    <row r="13" spans="1:11" s="1" customFormat="1" ht="16.5" x14ac:dyDescent="0.35">
      <c r="A13" s="56" t="s">
        <v>55</v>
      </c>
      <c r="B13" s="26">
        <f>SUM(B10:B12)</f>
        <v>2447900</v>
      </c>
      <c r="C13" s="6"/>
      <c r="D13" s="8">
        <f>SUM(D10:D12)</f>
        <v>1499328.87</v>
      </c>
      <c r="E13" s="4"/>
      <c r="F13" s="3">
        <f>+D13/B13</f>
        <v>0.61249596388741379</v>
      </c>
      <c r="G13" s="4"/>
      <c r="H13" s="8">
        <f>SUM(H10:H12)</f>
        <v>1583898.94</v>
      </c>
      <c r="I13" s="4"/>
      <c r="J13" s="3">
        <f>+D13/H13</f>
        <v>0.94660639775413968</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457555.34</v>
      </c>
      <c r="E16" s="4"/>
      <c r="F16" s="3">
        <f t="shared" ref="F16:F30" si="1">+D16/B16</f>
        <v>0.80618820411802228</v>
      </c>
      <c r="G16" s="4"/>
      <c r="H16" s="95">
        <v>452984.74</v>
      </c>
      <c r="I16" s="4"/>
      <c r="J16" s="3">
        <f t="shared" ref="J16:J30" si="2">+D16/H16</f>
        <v>1.0100899646200003</v>
      </c>
      <c r="K16" s="11"/>
    </row>
    <row r="17" spans="1:11" s="1" customFormat="1" x14ac:dyDescent="0.25">
      <c r="A17" s="4" t="s">
        <v>80</v>
      </c>
      <c r="B17" s="52">
        <v>201629</v>
      </c>
      <c r="C17" s="6"/>
      <c r="D17" s="5">
        <v>151193.47</v>
      </c>
      <c r="E17" s="4"/>
      <c r="F17" s="3">
        <f t="shared" si="1"/>
        <v>0.74985974239816688</v>
      </c>
      <c r="G17" s="4"/>
      <c r="H17" s="95">
        <v>148719.82999999999</v>
      </c>
      <c r="I17" s="4"/>
      <c r="J17" s="3">
        <f t="shared" si="2"/>
        <v>1.0166328861457146</v>
      </c>
      <c r="K17" s="11"/>
    </row>
    <row r="18" spans="1:11" s="1" customFormat="1" x14ac:dyDescent="0.25">
      <c r="A18" s="4" t="s">
        <v>81</v>
      </c>
      <c r="B18" s="52">
        <v>192919</v>
      </c>
      <c r="C18" s="6"/>
      <c r="D18" s="5">
        <v>163033.75</v>
      </c>
      <c r="E18" s="4"/>
      <c r="F18" s="3">
        <f t="shared" si="1"/>
        <v>0.84508913067142166</v>
      </c>
      <c r="G18" s="4"/>
      <c r="H18" s="95">
        <v>162355.28</v>
      </c>
      <c r="I18" s="4"/>
      <c r="J18" s="3">
        <f t="shared" si="2"/>
        <v>1.0041789216833601</v>
      </c>
      <c r="K18" s="11"/>
    </row>
    <row r="19" spans="1:11" s="1" customFormat="1" x14ac:dyDescent="0.25">
      <c r="A19" s="4" t="s">
        <v>82</v>
      </c>
      <c r="B19" s="52">
        <v>139323</v>
      </c>
      <c r="C19" s="6"/>
      <c r="D19" s="5">
        <v>245163.15</v>
      </c>
      <c r="E19" s="4"/>
      <c r="F19" s="3">
        <f t="shared" si="1"/>
        <v>1.7596746409422708</v>
      </c>
      <c r="G19" s="4"/>
      <c r="H19" s="95">
        <v>207096.34</v>
      </c>
      <c r="I19" s="4"/>
      <c r="J19" s="3">
        <f t="shared" si="2"/>
        <v>1.1838120847524394</v>
      </c>
      <c r="K19" s="11"/>
    </row>
    <row r="20" spans="1:11" s="1" customFormat="1" x14ac:dyDescent="0.25">
      <c r="A20" s="4" t="s">
        <v>83</v>
      </c>
      <c r="B20" s="52">
        <v>26850</v>
      </c>
      <c r="C20" s="6"/>
      <c r="D20" s="5">
        <v>19324.95</v>
      </c>
      <c r="E20" s="4"/>
      <c r="F20" s="3">
        <f t="shared" si="1"/>
        <v>0.71973743016759784</v>
      </c>
      <c r="G20" s="4"/>
      <c r="H20" s="95">
        <v>21815.86</v>
      </c>
      <c r="I20" s="4"/>
      <c r="J20" s="3">
        <f t="shared" si="2"/>
        <v>0.88582114113310229</v>
      </c>
      <c r="K20" s="11"/>
    </row>
    <row r="21" spans="1:11" s="1" customFormat="1" x14ac:dyDescent="0.25">
      <c r="A21" s="4" t="s">
        <v>88</v>
      </c>
      <c r="B21" s="52">
        <v>11815</v>
      </c>
      <c r="C21" s="6"/>
      <c r="D21" s="5">
        <v>4142.8</v>
      </c>
      <c r="E21" s="4"/>
      <c r="F21" s="3">
        <f t="shared" si="1"/>
        <v>0.35063901819720694</v>
      </c>
      <c r="G21" s="4"/>
      <c r="H21" s="95">
        <v>164</v>
      </c>
      <c r="I21" s="4"/>
      <c r="J21" s="3">
        <v>0</v>
      </c>
      <c r="K21" s="11"/>
    </row>
    <row r="22" spans="1:11" s="1" customFormat="1" x14ac:dyDescent="0.25">
      <c r="A22" s="4" t="s">
        <v>84</v>
      </c>
      <c r="B22" s="52">
        <v>14175</v>
      </c>
      <c r="C22" s="6"/>
      <c r="D22" s="5">
        <v>9806.93</v>
      </c>
      <c r="E22" s="4"/>
      <c r="F22" s="3">
        <f t="shared" si="1"/>
        <v>0.69184691358024697</v>
      </c>
      <c r="G22" s="4"/>
      <c r="H22" s="95">
        <v>10815.67</v>
      </c>
      <c r="I22" s="4"/>
      <c r="J22" s="3">
        <f t="shared" si="2"/>
        <v>0.90673347097313439</v>
      </c>
      <c r="K22" s="11"/>
    </row>
    <row r="23" spans="1:11" s="1" customFormat="1" x14ac:dyDescent="0.25">
      <c r="A23" s="4" t="s">
        <v>85</v>
      </c>
      <c r="B23" s="52">
        <v>4000</v>
      </c>
      <c r="C23" s="6"/>
      <c r="D23" s="5">
        <v>2029.94</v>
      </c>
      <c r="E23" s="4"/>
      <c r="F23" s="3">
        <f t="shared" si="1"/>
        <v>0.50748499999999996</v>
      </c>
      <c r="G23" s="4"/>
      <c r="H23" s="95">
        <v>1830.28</v>
      </c>
      <c r="I23" s="4"/>
      <c r="J23" s="3">
        <f t="shared" si="2"/>
        <v>1.1090871342089736</v>
      </c>
      <c r="K23" s="11"/>
    </row>
    <row r="24" spans="1:11" s="1" customFormat="1" x14ac:dyDescent="0.25">
      <c r="A24" s="4" t="s">
        <v>86</v>
      </c>
      <c r="B24" s="52">
        <v>3000</v>
      </c>
      <c r="C24" s="6"/>
      <c r="D24" s="20">
        <v>2956.76</v>
      </c>
      <c r="E24" s="4"/>
      <c r="F24" s="3">
        <f t="shared" si="1"/>
        <v>0.98558666666666672</v>
      </c>
      <c r="G24" s="4"/>
      <c r="H24" s="95">
        <v>5890.93</v>
      </c>
      <c r="I24" s="4"/>
      <c r="J24" s="3">
        <f t="shared" si="2"/>
        <v>0.50191735430568685</v>
      </c>
      <c r="K24" s="11"/>
    </row>
    <row r="25" spans="1:11" s="1" customFormat="1" x14ac:dyDescent="0.25">
      <c r="A25" s="4" t="s">
        <v>87</v>
      </c>
      <c r="B25" s="52">
        <f>199300+100073</f>
        <v>299373</v>
      </c>
      <c r="C25" s="6"/>
      <c r="D25" s="5">
        <v>189339.68</v>
      </c>
      <c r="E25" s="4"/>
      <c r="F25" s="3">
        <f t="shared" si="1"/>
        <v>0.6324540957267355</v>
      </c>
      <c r="G25" s="4"/>
      <c r="H25" s="95">
        <v>197835.3</v>
      </c>
      <c r="I25" s="4"/>
      <c r="J25" s="3">
        <f t="shared" si="2"/>
        <v>0.95705710760415352</v>
      </c>
      <c r="K25" s="11"/>
    </row>
    <row r="26" spans="1:11" s="1" customFormat="1" x14ac:dyDescent="0.25">
      <c r="A26" s="4" t="s">
        <v>63</v>
      </c>
      <c r="B26" s="52">
        <v>42000</v>
      </c>
      <c r="C26" s="6"/>
      <c r="D26" s="5">
        <v>44695.4</v>
      </c>
      <c r="E26" s="4"/>
      <c r="F26" s="3">
        <f t="shared" si="1"/>
        <v>1.0641761904761906</v>
      </c>
      <c r="G26" s="4"/>
      <c r="H26" s="95">
        <v>39309</v>
      </c>
      <c r="I26" s="4"/>
      <c r="J26" s="3">
        <f t="shared" si="2"/>
        <v>1.1370271439110637</v>
      </c>
      <c r="K26" s="11"/>
    </row>
    <row r="27" spans="1:11" s="1" customFormat="1" x14ac:dyDescent="0.25">
      <c r="A27" s="4" t="s">
        <v>64</v>
      </c>
      <c r="B27" s="52">
        <v>1514880</v>
      </c>
      <c r="C27" s="6"/>
      <c r="D27" s="5">
        <v>981435.2</v>
      </c>
      <c r="E27" s="4"/>
      <c r="F27" s="3">
        <f t="shared" si="1"/>
        <v>0.64786332910857625</v>
      </c>
      <c r="G27" s="4"/>
      <c r="H27" s="95">
        <v>1043006.96</v>
      </c>
      <c r="I27" s="4"/>
      <c r="J27" s="3">
        <f t="shared" si="2"/>
        <v>0.9409670669886997</v>
      </c>
      <c r="K27" s="11"/>
    </row>
    <row r="28" spans="1:11" s="1" customFormat="1" ht="16.5" x14ac:dyDescent="0.35">
      <c r="A28" s="4" t="s">
        <v>89</v>
      </c>
      <c r="B28" s="53">
        <v>6603</v>
      </c>
      <c r="C28" s="6"/>
      <c r="D28" s="8">
        <v>9402.66</v>
      </c>
      <c r="E28" s="4"/>
      <c r="F28" s="3">
        <f t="shared" si="1"/>
        <v>1.4239981826442525</v>
      </c>
      <c r="G28" s="4"/>
      <c r="H28" s="96">
        <v>3076.23</v>
      </c>
      <c r="I28" s="4"/>
      <c r="J28" s="3">
        <f t="shared" si="2"/>
        <v>3.0565529885606733</v>
      </c>
      <c r="K28" s="11"/>
    </row>
    <row r="29" spans="1:11" s="1" customFormat="1" ht="2.25" customHeight="1" x14ac:dyDescent="0.25">
      <c r="A29" s="4" t="s">
        <v>284</v>
      </c>
      <c r="B29" s="27">
        <v>0</v>
      </c>
      <c r="C29" s="6"/>
      <c r="D29" s="33">
        <v>0</v>
      </c>
      <c r="E29" s="4"/>
      <c r="F29" s="3" t="e">
        <f t="shared" si="1"/>
        <v>#DIV/0!</v>
      </c>
      <c r="G29" s="4"/>
      <c r="H29" s="33">
        <v>0</v>
      </c>
      <c r="I29" s="4"/>
      <c r="J29" s="3" t="e">
        <f t="shared" si="2"/>
        <v>#DIV/0!</v>
      </c>
      <c r="K29" s="11"/>
    </row>
    <row r="30" spans="1:11" s="1" customFormat="1" ht="16.5" x14ac:dyDescent="0.35">
      <c r="A30" s="56" t="s">
        <v>55</v>
      </c>
      <c r="B30" s="26">
        <f>SUM(B16:B29)</f>
        <v>3024121</v>
      </c>
      <c r="C30" s="6"/>
      <c r="D30" s="8">
        <f>SUM(D16:D29)</f>
        <v>2280080.0300000003</v>
      </c>
      <c r="E30" s="4"/>
      <c r="F30" s="3">
        <f t="shared" si="1"/>
        <v>0.75396455036025356</v>
      </c>
      <c r="G30" s="4"/>
      <c r="H30" s="8">
        <f>SUM(H16:H29)</f>
        <v>2294900.42</v>
      </c>
      <c r="I30" s="4"/>
      <c r="J30" s="3">
        <f t="shared" si="2"/>
        <v>0.99354203351446524</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3">+D34/B34</f>
        <v>#DIV/0!</v>
      </c>
      <c r="G34" s="4"/>
      <c r="H34" s="33">
        <v>0</v>
      </c>
      <c r="I34" s="4"/>
      <c r="J34" s="3" t="e">
        <f t="shared" ref="J34" si="4">+D34/H34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-576221</v>
      </c>
      <c r="C37" s="6"/>
      <c r="D37" s="9">
        <f>+D13-D30+D35</f>
        <v>-780751.16000000015</v>
      </c>
      <c r="E37" s="4"/>
      <c r="F37" s="4"/>
      <c r="G37" s="4"/>
      <c r="H37" s="9">
        <f>+H13-H30+H35</f>
        <v>-711001.48</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2024-06-05T15:17:38Z</cp:lastPrinted>
  <dcterms:created xsi:type="dcterms:W3CDTF">2009-11-06T16:21:47Z</dcterms:created>
  <dcterms:modified xsi:type="dcterms:W3CDTF">2024-08-14T14:06:58Z</dcterms:modified>
</cp:coreProperties>
</file>