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95309CF1-B734-4ABC-B866-0F3BD22C9F32}" xr6:coauthVersionLast="47" xr6:coauthVersionMax="47" xr10:uidLastSave="{00000000-0000-0000-0000-000000000000}"/>
  <bookViews>
    <workbookView xWindow="-120" yWindow="-120" windowWidth="29040" windowHeight="15840" firstSheet="7" activeTab="8"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4"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1" l="1"/>
  <c r="D38" i="11"/>
  <c r="H10" i="24" l="1"/>
  <c r="H12" i="24"/>
  <c r="H13" i="24"/>
  <c r="H15" i="24"/>
  <c r="B18" i="24"/>
  <c r="H18" i="24"/>
  <c r="B19" i="24"/>
  <c r="H19" i="24" s="1"/>
  <c r="H20" i="24"/>
  <c r="H22" i="24"/>
  <c r="H25" i="24"/>
  <c r="H26" i="24"/>
  <c r="H27" i="24"/>
  <c r="H28" i="24"/>
  <c r="B30" i="24"/>
  <c r="H30" i="24"/>
  <c r="H31" i="24"/>
  <c r="H33" i="24"/>
  <c r="H34" i="24"/>
  <c r="H35" i="24"/>
  <c r="B36" i="24"/>
  <c r="B55" i="24" s="1"/>
  <c r="D36" i="24"/>
  <c r="F36" i="24"/>
  <c r="H39" i="24"/>
  <c r="H40" i="24"/>
  <c r="H41" i="24"/>
  <c r="H42" i="24"/>
  <c r="H43" i="24"/>
  <c r="H44" i="24"/>
  <c r="H45" i="24"/>
  <c r="H46" i="24"/>
  <c r="H47" i="24"/>
  <c r="B48" i="24"/>
  <c r="D48" i="24"/>
  <c r="F48" i="24"/>
  <c r="H51" i="24"/>
  <c r="H52" i="24"/>
  <c r="B53" i="24"/>
  <c r="D53" i="24"/>
  <c r="F53" i="24"/>
  <c r="H53" i="24"/>
  <c r="F55" i="24" l="1"/>
  <c r="H48" i="24"/>
  <c r="H36" i="24"/>
  <c r="D55" i="24"/>
  <c r="J28" i="6"/>
  <c r="H28" i="2"/>
  <c r="H55" i="24" l="1"/>
  <c r="J41" i="9"/>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24" i="23"/>
  <c r="B19" i="6" l="1"/>
  <c r="B18" i="6"/>
  <c r="B25" i="10"/>
  <c r="B55" i="1" l="1"/>
  <c r="D55" i="1"/>
  <c r="B53" i="1"/>
  <c r="B54" i="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A3" i="13" l="1"/>
  <c r="A3" i="2"/>
  <c r="A3" i="12"/>
  <c r="A3" i="23" l="1"/>
  <c r="A3" i="24"/>
  <c r="A3" i="1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50" i="2" s="1"/>
  <c r="J35" i="8" l="1"/>
  <c r="J32" i="7"/>
  <c r="J53" i="6"/>
  <c r="J31" i="6"/>
  <c r="H17" i="2" l="1"/>
  <c r="J17" i="2" s="1"/>
  <c r="H19" i="2"/>
  <c r="J19" i="2" s="1"/>
  <c r="H20" i="2"/>
  <c r="J20" i="2" s="1"/>
  <c r="B21" i="2"/>
  <c r="F21" i="2" s="1"/>
  <c r="H21" i="2"/>
  <c r="H23" i="2"/>
  <c r="J23" i="2" s="1"/>
  <c r="B24" i="2"/>
  <c r="D24" i="2"/>
  <c r="H24" i="2"/>
  <c r="B26" i="2"/>
  <c r="F26" i="2" s="1"/>
  <c r="H26" i="2"/>
  <c r="J26" i="2" s="1"/>
  <c r="H27" i="2"/>
  <c r="J27" i="2" s="1"/>
  <c r="J28" i="2"/>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B56" i="9" s="1"/>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H56" i="8" l="1"/>
  <c r="J49" i="9"/>
  <c r="J36" i="9"/>
  <c r="D56" i="8"/>
  <c r="F13" i="10"/>
  <c r="F49" i="9"/>
  <c r="F36" i="9"/>
  <c r="J36" i="7"/>
  <c r="J13" i="10"/>
  <c r="J49" i="8"/>
  <c r="F34" i="11"/>
  <c r="J34" i="11"/>
  <c r="F36" i="8"/>
  <c r="B56" i="8"/>
  <c r="F36" i="6"/>
  <c r="B50" i="2"/>
  <c r="F50" i="2" s="1"/>
  <c r="H52" i="2"/>
  <c r="F49" i="8"/>
  <c r="D31" i="2"/>
  <c r="D37" i="10"/>
  <c r="B31" i="2"/>
  <c r="B38" i="2" s="1"/>
  <c r="B37" i="10"/>
  <c r="H37" i="10"/>
  <c r="H31" i="2"/>
  <c r="H47" i="11"/>
  <c r="F49" i="7"/>
  <c r="B47" i="11"/>
  <c r="F36" i="7"/>
  <c r="D57" i="6"/>
  <c r="B52" i="2" l="1"/>
  <c r="B59" i="2" s="1"/>
  <c r="F31" i="2"/>
  <c r="J31" i="2"/>
  <c r="D38" i="2"/>
  <c r="D52" i="2"/>
  <c r="H38" i="2"/>
  <c r="F52" i="2" l="1"/>
  <c r="D59" i="2"/>
  <c r="F38" i="2"/>
  <c r="J38" i="2"/>
  <c r="J52" i="2"/>
  <c r="H59" i="2"/>
  <c r="B75" i="1" l="1"/>
  <c r="B77" i="1" s="1"/>
  <c r="D75" i="1"/>
  <c r="D77" i="1" s="1"/>
  <c r="B60" i="1"/>
  <c r="B62" i="1" s="1"/>
  <c r="B68" i="1" s="1"/>
  <c r="B80" i="1" l="1"/>
  <c r="B81" i="1" s="1"/>
  <c r="D60" i="1"/>
  <c r="D62" i="1" s="1"/>
  <c r="D68" i="1" s="1"/>
  <c r="D80" i="1" l="1"/>
  <c r="D81" i="1" s="1"/>
  <c r="D82" i="1" s="1"/>
  <c r="B82" i="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<sst xmlns="http://schemas.openxmlformats.org/spreadsheetml/2006/main" count="883" uniqueCount="404">
  <si>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</si>
  <si>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</si>
  <si>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</si>
  <si>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</si>
  <si>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</si>
  <si>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</si>
  <si>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</si>
  <si>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</si>
  <si>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</si>
  <si>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</si>
  <si>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</si>
  <si>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</si>
  <si>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</si>
  <si>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</si>
  <si>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</si>
  <si>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</si>
  <si>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</si>
  <si>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</si>
  <si>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</si>
  <si>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</si>
  <si>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</si>
  <si>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</si>
  <si>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</si>
  <si>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</si>
  <si>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</si>
  <si>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</si>
  <si>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</si>
  <si>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</si>
  <si>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</si>
  <si>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</si>
  <si>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</si>
  <si>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</si>
  <si>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</si>
  <si>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</si>
  <si>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</si>
  <si>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</si>
  <si>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</si>
  <si>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</si>
  <si>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</si>
  <si>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</si>
  <si>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</si>
  <si>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</si>
  <si>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</si>
  <si>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</si>
  <si>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</si>
  <si>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</si>
  <si>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</si>
  <si>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</si>
  <si>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</si>
  <si>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</si>
  <si>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</si>
  <si>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</si>
  <si>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</si>
  <si>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</si>
  <si>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</si>
  <si>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</si>
  <si>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</si>
  <si>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</si>
  <si>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</si>
  <si>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</si>
  <si>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</si>
  <si>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</si>
  <si>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</si>
  <si>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</si>
  <si>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</si>
  <si>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</si>
  <si>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</si>
  <si>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</si>
  <si>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</si>
  <si>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</si>
  <si>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</si>
  <si>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</si>
  <si>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</si>
  <si>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</si>
  <si>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</si>
  <si>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</si>
  <si>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</si>
  <si>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</si>
  <si>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</si>
  <si>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</si>
  <si>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</si>
  <si>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</si>
  <si>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</si>
  <si>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</si>
  <si>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</si>
  <si>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</si>
  <si>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</si>
  <si>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</si>
  <si>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</si>
  <si>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</si>
  <si>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</si>
  <si>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</si>
  <si>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</si>
  <si>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</si>
  <si>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</si>
  <si>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</si>
  <si>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</si>
  <si>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</si>
  <si>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</si>
  <si>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</si>
  <si>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</si>
  <si>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</si>
  <si>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</si>
  <si>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</si>
  <si>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</si>
  <si>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</si>
  <si>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</si>
  <si>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</si>
  <si>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</si>
  <si>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</si>
  <si>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</si>
  <si>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</si>
  <si>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</si>
  <si>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</si>
  <si>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</si>
  <si>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</si>
  <si>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</si>
  <si>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</si>
  <si>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</si>
  <si>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</si>
  <si>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</si>
  <si>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</si>
  <si>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</si>
  <si>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</si>
  <si>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</si>
  <si>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</si>
  <si>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</si>
  <si>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</si>
  <si>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</si>
  <si>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</si>
  <si>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</si>
  <si>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</si>
  <si>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</si>
  <si>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</si>
  <si>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</si>
  <si>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</si>
  <si>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</si>
  <si>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</si>
  <si>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</si>
  <si>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</si>
  <si>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</si>
  <si>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</si>
  <si>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</si>
  <si>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</si>
  <si>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</si>
  <si>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</si>
  <si>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</si>
  <si>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</si>
  <si>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</si>
  <si>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</si>
  <si>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</si>
  <si>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</si>
  <si>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</si>
  <si>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</si>
  <si>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</si>
  <si>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</si>
  <si>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</si>
  <si>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</si>
  <si>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</si>
  <si>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</si>
  <si>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</si>
  <si>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</si>
  <si>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</si>
  <si>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</si>
  <si>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</si>
  <si>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</si>
  <si>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</si>
  <si>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</si>
  <si>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</si>
  <si>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</si>
  <si>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</si>
  <si>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</si>
  <si>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</si>
  <si>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</si>
  <si>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</si>
  <si>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</si>
  <si>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</si>
  <si>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</si>
  <si>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</si>
  <si>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</si>
  <si>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</si>
  <si>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</si>
  <si>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</si>
  <si>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</si>
  <si>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</si>
  <si>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</si>
  <si>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</si>
  <si>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</si>
  <si>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</si>
  <si>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</si>
  <si>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</si>
  <si>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</si>
  <si>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</si>
  <si>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</si>
  <si>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</si>
  <si>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</si>
  <si>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</si>
  <si>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</si>
  <si>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</si>
  <si>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</si>
  <si>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</si>
  <si>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</si>
  <si>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</si>
  <si>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</si>
  <si>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</si>
  <si>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</si>
  <si>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</si>
  <si>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</si>
  <si>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</si>
  <si>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</si>
  <si>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</si>
  <si>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</si>
  <si>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</si>
  <si>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</si>
  <si>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</si>
  <si>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</si>
  <si>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</si>
  <si>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</si>
  <si>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</si>
  <si>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</si>
  <si>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</si>
  <si>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</si>
  <si>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</si>
  <si>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</si>
  <si>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</si>
  <si>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</si>
  <si>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</si>
  <si>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</si>
  <si>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</si>
  <si>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</si>
  <si>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</si>
  <si>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</si>
  <si>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</si>
  <si>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</si>
  <si>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</si>
  <si>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</si>
  <si>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</si>
  <si>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</si>
  <si>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</si>
  <si>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</si>
  <si>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</si>
  <si>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</si>
  <si>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</si>
  <si>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</si>
  <si>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</si>
  <si>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</si>
  <si>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</si>
  <si>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</si>
  <si>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</si>
  <si>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</si>
  <si>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</si>
  <si>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</si>
  <si>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</si>
  <si>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</si>
  <si>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</si>
  <si>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</si>
  <si>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</si>
  <si>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</si>
  <si>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</si>
  <si>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</si>
  <si>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</si>
  <si>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</si>
  <si>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</si>
  <si>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</si>
  <si>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</si>
  <si>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</si>
  <si>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</si>
  <si>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</si>
  <si>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</si>
  <si>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</si>
  <si>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</si>
  <si>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</si>
  <si>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</si>
  <si>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</si>
  <si>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</si>
  <si>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</si>
  <si>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</si>
  <si>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</si>
  <si>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</si>
  <si>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</si>
  <si>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</si>
  <si>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</si>
  <si>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</si>
  <si>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</si>
  <si>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</si>
  <si>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</si>
  <si>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</si>
  <si>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</si>
  <si>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</si>
  <si>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</si>
  <si>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</si>
  <si>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</si>
  <si>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</si>
  <si>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</si>
  <si>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</si>
  <si>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</si>
  <si>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</si>
  <si>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</si>
  <si>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</si>
  <si>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</si>
  <si>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</si>
  <si>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</si>
  <si>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</si>
  <si>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</si>
  <si>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</si>
  <si>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</si>
  <si>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</si>
  <si>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</si>
  <si>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</si>
  <si>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</si>
  <si>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</si>
  <si>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</si>
  <si>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</si>
  <si>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</si>
  <si>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</si>
  <si>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</si>
  <si>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</si>
  <si>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</si>
  <si>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</si>
  <si>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</si>
  <si>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</si>
  <si>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</si>
  <si>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</si>
  <si>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</si>
  <si>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</si>
  <si>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</si>
  <si>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</si>
  <si>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</si>
  <si>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</si>
  <si>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</si>
  <si>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</si>
  <si>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</si>
  <si>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</si>
  <si>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</si>
  <si>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</si>
  <si>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</si>
  <si>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</si>
  <si>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</si>
  <si>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</si>
  <si>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</si>
  <si>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</si>
  <si>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</si>
  <si>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</si>
  <si>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</si>
  <si>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</si>
  <si>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</si>
  <si>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</si>
  <si>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</si>
  <si>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</si>
  <si>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</si>
  <si>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</si>
  <si>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</si>
  <si>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</si>
  <si>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</si>
  <si>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</si>
  <si>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</si>
  <si>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</si>
  <si>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</si>
  <si>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</si>
  <si>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</si>
  <si>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</si>
  <si>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</si>
  <si>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</si>
  <si>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</si>
  <si>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</si>
  <si>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</si>
  <si>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</si>
  <si>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</si>
  <si>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</si>
  <si>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</si>
  <si>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</si>
  <si>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</si>
  <si>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</si>
  <si>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</si>
  <si>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</si>
  <si>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</si>
  <si>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</si>
  <si>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</si>
  <si>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</si>
  <si>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</si>
  <si>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</si>
  <si>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</si>
  <si>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</si>
  <si>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</si>
  <si>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</si>
  <si>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</si>
  <si>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</si>
  <si>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</si>
  <si>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</si>
  <si>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</si>
  <si>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</si>
  <si>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</si>
  <si>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</si>
  <si>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</si>
  <si>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</si>
  <si>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</si>
  <si>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</si>
  <si>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</si>
  <si>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</si>
  <si>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</si>
  <si>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</si>
  <si>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</si>
  <si>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</si>
  <si>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May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</si>
</sst>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35" zoomScaleNormal="100" workbookViewId="0">
      <selection activeCell="H76" sqref="H76"/>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-74494.69</v>
      </c>
      <c r="C8" s="5"/>
      <c r="D8" s="7">
        <v>2825767.9</v>
      </c>
      <c r="E8" s="16" t="s">
        <v>95</v>
      </c>
      <c r="F8" s="45"/>
    </row>
    <row r="9" spans="1:7" x14ac:dyDescent="0.25">
      <c r="A9" s="10" t="s">
        <v>3</v>
      </c>
      <c r="B9" s="5">
        <v>-167089.48000000001</v>
      </c>
      <c r="C9" s="5"/>
      <c r="D9" s="5">
        <v>2110549.2799999998</v>
      </c>
      <c r="E9" s="16" t="s">
        <v>96</v>
      </c>
      <c r="F9" s="45"/>
    </row>
    <row r="10" spans="1:7" x14ac:dyDescent="0.25">
      <c r="A10" s="10" t="s">
        <v>4</v>
      </c>
      <c r="B10" s="5">
        <v>35948466.100000001</v>
      </c>
      <c r="C10" s="5"/>
      <c r="D10" s="5">
        <v>24738253.670000002</v>
      </c>
      <c r="E10" s="16" t="s">
        <v>97</v>
      </c>
      <c r="F10" s="46"/>
    </row>
    <row r="11" spans="1:7" x14ac:dyDescent="0.25">
      <c r="A11" s="10" t="s">
        <v>5</v>
      </c>
      <c r="B11" s="5">
        <v>2305.0500000000002</v>
      </c>
      <c r="C11" s="5"/>
      <c r="D11" s="5">
        <v>110.81</v>
      </c>
      <c r="E11" s="16" t="s">
        <v>97</v>
      </c>
      <c r="F11" s="46"/>
      <c r="G11" s="14"/>
    </row>
    <row r="12" spans="1:7" x14ac:dyDescent="0.25">
      <c r="A12" s="10" t="s">
        <v>6</v>
      </c>
      <c r="B12" s="5">
        <v>4217974.63</v>
      </c>
      <c r="C12" s="5"/>
      <c r="D12" s="5">
        <v>2374225.34</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40280163.240000002</v>
      </c>
      <c r="C16" s="5"/>
      <c r="D16" s="8">
        <f>SUM(D8:D15)</f>
        <v>32463158.710000001</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106759188.59999999</v>
      </c>
      <c r="C28" s="5"/>
      <c r="D28" s="8">
        <f>+D16+D22+D26</f>
        <v>96705344.710000008</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669851.48</v>
      </c>
      <c r="C32" s="5"/>
      <c r="D32" s="5">
        <v>534648.89</v>
      </c>
      <c r="E32" s="16" t="s">
        <v>109</v>
      </c>
    </row>
    <row r="33" spans="1:5" x14ac:dyDescent="0.25">
      <c r="A33" s="10" t="s">
        <v>17</v>
      </c>
      <c r="B33" s="5">
        <v>157044.03</v>
      </c>
      <c r="C33" s="5"/>
      <c r="D33" s="5">
        <v>973955.68</v>
      </c>
      <c r="E33" s="16" t="s">
        <v>193</v>
      </c>
    </row>
    <row r="34" spans="1:5" x14ac:dyDescent="0.25">
      <c r="A34" s="10" t="s">
        <v>18</v>
      </c>
      <c r="B34" s="5">
        <v>266503.65000000002</v>
      </c>
      <c r="C34" s="5"/>
      <c r="D34" s="5">
        <v>230591.74</v>
      </c>
      <c r="E34" s="56" t="s">
        <v>260</v>
      </c>
    </row>
    <row r="35" spans="1:5" ht="16.5" x14ac:dyDescent="0.35">
      <c r="A35" s="10" t="s">
        <v>19</v>
      </c>
      <c r="B35" s="8">
        <v>1327777.58</v>
      </c>
      <c r="C35" s="5"/>
      <c r="D35" s="8">
        <v>2194955.77</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2421176.7400000002</v>
      </c>
      <c r="C41" s="5"/>
      <c r="D41" s="8">
        <f>SUM(D32:D35)</f>
        <v>3934152.08</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59672565.75</v>
      </c>
      <c r="C62" s="5"/>
      <c r="D62" s="8">
        <f>+D41+D60</f>
        <v>54845473.079999998</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72964155.75</v>
      </c>
      <c r="C68" s="5"/>
      <c r="D68" s="8">
        <f>+D62+D66</f>
        <v>65049611.079999998</v>
      </c>
    </row>
    <row r="69" spans="1:8" ht="7.5" customHeight="1" x14ac:dyDescent="0.25">
      <c r="B69" s="5"/>
      <c r="C69" s="5"/>
      <c r="D69" s="5"/>
    </row>
    <row r="70" spans="1:8" x14ac:dyDescent="0.25">
      <c r="A70" s="29" t="s">
        <v>282</v>
      </c>
      <c r="B70" s="5"/>
      <c r="C70" s="5"/>
      <c r="D70" s="5"/>
    </row>
    <row r="71" spans="1:8" x14ac:dyDescent="0.25">
      <c r="A71" s="4" t="s">
        <v>29</v>
      </c>
      <c r="B71" s="5">
        <v>27173163.77</v>
      </c>
      <c r="C71" s="5"/>
      <c r="D71" s="5">
        <v>25465193.719999999</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6621869.0800000019</v>
      </c>
      <c r="C75" s="5"/>
      <c r="D75" s="8">
        <f>'Revenues, Expenditures, Changes'!H59</f>
        <v>6190539.9099999992</v>
      </c>
    </row>
    <row r="76" spans="1:8" ht="7.5" customHeight="1" x14ac:dyDescent="0.35">
      <c r="B76" s="8"/>
      <c r="C76" s="5"/>
      <c r="D76" s="8"/>
    </row>
    <row r="77" spans="1:8" ht="16.5" x14ac:dyDescent="0.35">
      <c r="A77" s="4" t="s">
        <v>283</v>
      </c>
      <c r="B77" s="9">
        <f>SUM(B71:B76)</f>
        <v>33795032.850000001</v>
      </c>
      <c r="C77" s="5"/>
      <c r="D77" s="9">
        <f>SUM(D71:D76)</f>
        <v>31655733.629999999</v>
      </c>
      <c r="F77" s="46"/>
      <c r="G77" s="14"/>
      <c r="H77" s="15"/>
    </row>
    <row r="78" spans="1:8" x14ac:dyDescent="0.25">
      <c r="B78" s="5"/>
      <c r="C78" s="5"/>
      <c r="D78" s="5"/>
      <c r="H78" s="15"/>
    </row>
    <row r="79" spans="1:8" x14ac:dyDescent="0.25">
      <c r="B79" s="5"/>
      <c r="C79" s="5"/>
      <c r="D79" s="5"/>
    </row>
    <row r="80" spans="1:8" x14ac:dyDescent="0.25">
      <c r="A80" s="92" t="s">
        <v>359</v>
      </c>
      <c r="B80" s="5">
        <f>+B28-B68</f>
        <v>33795032.849999994</v>
      </c>
      <c r="C80" s="5"/>
      <c r="D80" s="5">
        <f>+D28-D68</f>
        <v>31655733.63000001</v>
      </c>
    </row>
    <row r="81" spans="1:4" ht="16.5" x14ac:dyDescent="0.35">
      <c r="A81" s="92" t="s">
        <v>360</v>
      </c>
      <c r="B81" s="83">
        <f>+B77-B80</f>
        <v>0</v>
      </c>
      <c r="C81" s="83"/>
      <c r="D81" s="83">
        <f>+D77-D80</f>
        <v>0</v>
      </c>
    </row>
    <row r="82" spans="1:4" ht="16.5" x14ac:dyDescent="0.35">
      <c r="B82" s="62">
        <f>SUM(B80:B81)</f>
        <v>33795032.849999994</v>
      </c>
      <c r="C82" s="62"/>
      <c r="D82" s="62">
        <f>SUM(D80:D81)</f>
        <v>31655733.63000001</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M36" sqref="M36"/>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May 31,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45077</v>
      </c>
      <c r="K7" s="11"/>
      <c r="L7" s="11"/>
    </row>
    <row r="8" spans="1:12" s="1" customFormat="1" x14ac:dyDescent="0.25">
      <c r="A8" s="4"/>
      <c r="B8" s="22" t="s">
        <v>33</v>
      </c>
      <c r="C8" s="56"/>
      <c r="D8" s="28" t="s">
        <v>35</v>
      </c>
      <c r="E8" s="87"/>
      <c r="F8" s="22" t="s">
        <v>33</v>
      </c>
      <c r="G8" s="87"/>
      <c r="H8" s="37">
        <f>+'Revenues, Expenditures, Changes'!H9</f>
        <v>45077</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2874778.82</v>
      </c>
      <c r="E13" s="4"/>
      <c r="F13" s="3">
        <f>+D13/B13</f>
        <v>1.0087792726405029</v>
      </c>
      <c r="G13" s="4"/>
      <c r="H13" s="7">
        <v>2623220.5299999998</v>
      </c>
      <c r="I13" s="4"/>
      <c r="J13" s="3">
        <f>+D13/H13</f>
        <v>1.095896737282702</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93.12</v>
      </c>
      <c r="E26" s="35"/>
      <c r="F26" s="3">
        <v>0</v>
      </c>
      <c r="G26" s="35"/>
      <c r="H26" s="5">
        <v>3.19</v>
      </c>
      <c r="I26" s="4"/>
      <c r="J26" s="3">
        <f t="shared" si="1"/>
        <v>29.191222570532918</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5">
        <v>0</v>
      </c>
      <c r="C28" s="6"/>
      <c r="D28" s="8">
        <v>556.83000000000004</v>
      </c>
      <c r="E28" s="4"/>
      <c r="F28" s="3">
        <v>0</v>
      </c>
      <c r="G28" s="4"/>
      <c r="H28" s="126">
        <v>0</v>
      </c>
      <c r="I28" s="4"/>
      <c r="J28" s="127">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2875428.77</v>
      </c>
      <c r="E34" s="4"/>
      <c r="F34" s="3">
        <f>+D34/B34</f>
        <v>1.0090073444781316</v>
      </c>
      <c r="G34" s="4"/>
      <c r="H34" s="8">
        <f>SUM(H10:H33)</f>
        <v>2623223.7199999997</v>
      </c>
      <c r="I34" s="4"/>
      <c r="J34" s="3">
        <f t="shared" si="2"/>
        <v>1.0961431722643924</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c r="E37" s="4"/>
      <c r="F37" s="3">
        <f>+D37/B37</f>
        <v>0</v>
      </c>
      <c r="G37" s="4"/>
      <c r="H37" s="5">
        <v>0</v>
      </c>
      <c r="I37" s="4"/>
      <c r="J37" s="3">
        <v>0</v>
      </c>
      <c r="K37" s="11"/>
      <c r="L37" s="11"/>
    </row>
    <row r="38" spans="1:12" s="1" customFormat="1" ht="16.5" x14ac:dyDescent="0.35">
      <c r="A38" s="4" t="s">
        <v>78</v>
      </c>
      <c r="B38" s="26">
        <v>909760</v>
      </c>
      <c r="C38" s="6"/>
      <c r="D38" s="8">
        <f>56787.5+186706.25+206582.15</f>
        <v>450075.9</v>
      </c>
      <c r="E38" s="4"/>
      <c r="F38" s="3">
        <f>+D38/B38</f>
        <v>0.49471937653886744</v>
      </c>
      <c r="G38" s="4"/>
      <c r="H38" s="8">
        <f>74462.5+210331.25</f>
        <v>284793.75</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450075.9</v>
      </c>
      <c r="E40" s="4"/>
      <c r="F40" s="3">
        <f>+D40/B40</f>
        <v>0.14757748150674152</v>
      </c>
      <c r="G40" s="4"/>
      <c r="H40" s="8">
        <f>SUM(H37:H39)</f>
        <v>284793.75</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2425352.87</v>
      </c>
      <c r="E47" s="4"/>
      <c r="F47" s="3"/>
      <c r="G47" s="4"/>
      <c r="H47" s="89">
        <f>+H34-H40+H45</f>
        <v>2338429.9699999997</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049B-46DA-45AA-B288-ABD8D6EDB675}">
  <sheetPr>
    <tabColor rgb="FF92D050"/>
  </sheetPr>
  <dimension ref="A1:J68"/>
  <sheetViews>
    <sheetView topLeftCell="A17" zoomScaleNormal="100" workbookViewId="0">
      <selection activeCell="F42" sqref="F42"/>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May 31,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6"/>
      <c r="C6" s="128"/>
      <c r="D6" s="116" t="s">
        <v>218</v>
      </c>
      <c r="E6" s="116"/>
      <c r="F6" s="116" t="s">
        <v>258</v>
      </c>
      <c r="G6" s="128"/>
      <c r="H6" s="116"/>
      <c r="I6" s="128"/>
      <c r="J6" s="102"/>
    </row>
    <row r="7" spans="1:10" s="106" customFormat="1" x14ac:dyDescent="0.25">
      <c r="A7" s="102"/>
      <c r="B7" s="116" t="s">
        <v>90</v>
      </c>
      <c r="C7" s="128"/>
      <c r="D7" s="116" t="s">
        <v>33</v>
      </c>
      <c r="E7" s="116"/>
      <c r="F7" s="116" t="s">
        <v>33</v>
      </c>
      <c r="G7" s="128"/>
      <c r="H7" s="116" t="s">
        <v>32</v>
      </c>
      <c r="I7" s="128"/>
      <c r="J7" s="102"/>
    </row>
    <row r="8" spans="1:10" s="106" customFormat="1" x14ac:dyDescent="0.25">
      <c r="A8" s="102"/>
      <c r="B8" s="115" t="s">
        <v>33</v>
      </c>
      <c r="C8" s="128"/>
      <c r="D8" s="117" t="s">
        <v>219</v>
      </c>
      <c r="E8" s="116"/>
      <c r="F8" s="115" t="s">
        <v>219</v>
      </c>
      <c r="G8" s="128"/>
      <c r="H8" s="115" t="s">
        <v>33</v>
      </c>
      <c r="I8" s="128"/>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4"/>
      <c r="C11" s="103"/>
      <c r="D11" s="103"/>
      <c r="E11" s="103"/>
      <c r="F11" s="103"/>
      <c r="G11" s="102"/>
      <c r="H11" s="103"/>
      <c r="I11" s="102"/>
      <c r="J11" s="102"/>
    </row>
    <row r="12" spans="1:10" s="106" customFormat="1" x14ac:dyDescent="0.25">
      <c r="A12" s="113" t="s">
        <v>93</v>
      </c>
      <c r="B12" s="103">
        <v>0</v>
      </c>
      <c r="C12" s="103"/>
      <c r="D12" s="103">
        <v>133855</v>
      </c>
      <c r="E12" s="103"/>
      <c r="F12" s="103">
        <v>1204695</v>
      </c>
      <c r="G12" s="102"/>
      <c r="H12" s="103">
        <f>+B12+F12</f>
        <v>1204695</v>
      </c>
      <c r="I12" s="102"/>
      <c r="J12" s="102"/>
    </row>
    <row r="13" spans="1:10" s="106" customFormat="1" x14ac:dyDescent="0.25">
      <c r="A13" s="113" t="s">
        <v>94</v>
      </c>
      <c r="B13" s="103">
        <v>0</v>
      </c>
      <c r="C13" s="103"/>
      <c r="D13" s="103">
        <v>54448</v>
      </c>
      <c r="E13" s="103"/>
      <c r="F13" s="103">
        <v>456548</v>
      </c>
      <c r="G13" s="102"/>
      <c r="H13" s="103">
        <f>+B13+F13</f>
        <v>456548</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3" t="s">
        <v>49</v>
      </c>
      <c r="B15" s="103">
        <v>13741594</v>
      </c>
      <c r="C15" s="103"/>
      <c r="D15" s="103">
        <v>0</v>
      </c>
      <c r="E15" s="103"/>
      <c r="F15" s="103">
        <v>0</v>
      </c>
      <c r="G15" s="102"/>
      <c r="H15" s="103">
        <f>+B15+F15</f>
        <v>13741594</v>
      </c>
      <c r="I15" s="102"/>
      <c r="J15" s="102"/>
    </row>
    <row r="16" spans="1:10" s="106" customFormat="1" hidden="1" x14ac:dyDescent="0.25">
      <c r="A16" s="113"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3" t="s">
        <v>42</v>
      </c>
      <c r="B18" s="103">
        <f>1599976+126720+1196059+161568+69172+1122622</f>
        <v>4276117</v>
      </c>
      <c r="C18" s="103"/>
      <c r="D18" s="103">
        <v>0</v>
      </c>
      <c r="E18" s="103"/>
      <c r="F18" s="103">
        <v>0</v>
      </c>
      <c r="G18" s="102"/>
      <c r="H18" s="103">
        <f>+B18+F18</f>
        <v>4276117</v>
      </c>
      <c r="I18" s="102"/>
      <c r="J18" s="102"/>
    </row>
    <row r="19" spans="1:10" s="106" customFormat="1" x14ac:dyDescent="0.25">
      <c r="A19" s="113" t="s">
        <v>43</v>
      </c>
      <c r="B19" s="103">
        <f>515915+196345+215000+35000+122400+496200+10955</f>
        <v>1591815</v>
      </c>
      <c r="C19" s="103"/>
      <c r="D19" s="103">
        <v>0</v>
      </c>
      <c r="E19" s="103"/>
      <c r="F19" s="103">
        <v>0</v>
      </c>
      <c r="G19" s="102"/>
      <c r="H19" s="103">
        <f>+B19+F19</f>
        <v>1591815</v>
      </c>
      <c r="I19" s="102"/>
      <c r="J19" s="102"/>
    </row>
    <row r="20" spans="1:10" s="106" customFormat="1" x14ac:dyDescent="0.25">
      <c r="A20" s="113"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3" t="s">
        <v>42</v>
      </c>
      <c r="B22" s="103">
        <v>4985352</v>
      </c>
      <c r="C22" s="103"/>
      <c r="D22" s="103">
        <v>0</v>
      </c>
      <c r="E22" s="103"/>
      <c r="F22" s="103">
        <v>0</v>
      </c>
      <c r="G22" s="102"/>
      <c r="H22" s="103">
        <f>+B22+F22</f>
        <v>4985352</v>
      </c>
      <c r="I22" s="102"/>
      <c r="J22" s="102"/>
    </row>
    <row r="23" spans="1:10" s="106" customFormat="1" hidden="1" x14ac:dyDescent="0.25">
      <c r="A23" s="113"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3" t="s">
        <v>42</v>
      </c>
      <c r="B25" s="103">
        <v>-300000</v>
      </c>
      <c r="C25" s="103"/>
      <c r="D25" s="103">
        <v>0</v>
      </c>
      <c r="E25" s="103"/>
      <c r="F25" s="103">
        <v>0</v>
      </c>
      <c r="G25" s="102"/>
      <c r="H25" s="103">
        <f>+B25+F25</f>
        <v>-300000</v>
      </c>
      <c r="I25" s="102"/>
      <c r="J25" s="102"/>
    </row>
    <row r="26" spans="1:10" s="106" customFormat="1" hidden="1" x14ac:dyDescent="0.25">
      <c r="A26" s="113"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3" t="s">
        <v>53</v>
      </c>
      <c r="B33" s="103">
        <v>0</v>
      </c>
      <c r="C33" s="103"/>
      <c r="D33" s="103">
        <v>0</v>
      </c>
      <c r="E33" s="103"/>
      <c r="F33" s="103">
        <v>0</v>
      </c>
      <c r="G33" s="102"/>
      <c r="H33" s="103">
        <f>+B33+F33</f>
        <v>0</v>
      </c>
      <c r="I33" s="102"/>
      <c r="J33" s="102"/>
    </row>
    <row r="34" spans="1:10" s="106" customFormat="1" hidden="1" x14ac:dyDescent="0.25">
      <c r="A34" s="113" t="s">
        <v>52</v>
      </c>
      <c r="B34" s="103">
        <v>0</v>
      </c>
      <c r="C34" s="103"/>
      <c r="D34" s="103">
        <v>0</v>
      </c>
      <c r="E34" s="103"/>
      <c r="F34" s="103">
        <v>0</v>
      </c>
      <c r="G34" s="102"/>
      <c r="H34" s="103">
        <f>+B34+F34</f>
        <v>0</v>
      </c>
      <c r="I34" s="102"/>
      <c r="J34" s="102"/>
    </row>
    <row r="35" spans="1:10" s="106" customFormat="1" ht="16.5" x14ac:dyDescent="0.35">
      <c r="A35" s="113" t="s">
        <v>54</v>
      </c>
      <c r="B35" s="112">
        <v>99663</v>
      </c>
      <c r="C35" s="103"/>
      <c r="D35" s="112">
        <v>88146</v>
      </c>
      <c r="E35" s="103"/>
      <c r="F35" s="107">
        <v>477775</v>
      </c>
      <c r="G35" s="102"/>
      <c r="H35" s="107">
        <f>+B35+F35</f>
        <v>577438</v>
      </c>
      <c r="I35" s="102"/>
      <c r="J35" s="102"/>
    </row>
    <row r="36" spans="1:10" s="106" customFormat="1" ht="16.5" x14ac:dyDescent="0.35">
      <c r="A36" s="128" t="s">
        <v>55</v>
      </c>
      <c r="B36" s="110">
        <f>SUM(B10:B35)</f>
        <v>30855999</v>
      </c>
      <c r="C36" s="110"/>
      <c r="D36" s="110">
        <f>SUM(D10:D35)</f>
        <v>276449</v>
      </c>
      <c r="E36" s="110"/>
      <c r="F36" s="110">
        <f>SUM(F10:F35)</f>
        <v>2139018</v>
      </c>
      <c r="G36" s="111"/>
      <c r="H36" s="110">
        <f>SUM(H10:H35)</f>
        <v>32995017</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239458</v>
      </c>
      <c r="E39" s="103"/>
      <c r="F39" s="103">
        <v>2446224</v>
      </c>
      <c r="G39" s="102"/>
      <c r="H39" s="103">
        <f t="shared" ref="H39:H47" si="0">+B39+F39</f>
        <v>12058124</v>
      </c>
      <c r="I39" s="102"/>
      <c r="J39" s="102"/>
    </row>
    <row r="40" spans="1:10" s="106" customFormat="1" x14ac:dyDescent="0.25">
      <c r="A40" s="102" t="s">
        <v>58</v>
      </c>
      <c r="B40" s="103">
        <v>513009</v>
      </c>
      <c r="C40" s="103"/>
      <c r="D40" s="103">
        <v>-111182</v>
      </c>
      <c r="E40" s="103"/>
      <c r="F40" s="103">
        <v>-107460</v>
      </c>
      <c r="G40" s="102"/>
      <c r="H40" s="103">
        <f t="shared" si="0"/>
        <v>405549</v>
      </c>
      <c r="I40" s="102"/>
      <c r="J40" s="102"/>
    </row>
    <row r="41" spans="1:10" s="106" customFormat="1" x14ac:dyDescent="0.25">
      <c r="A41" s="102" t="s">
        <v>59</v>
      </c>
      <c r="B41" s="103">
        <v>2883205</v>
      </c>
      <c r="C41" s="103"/>
      <c r="D41" s="103">
        <v>29664</v>
      </c>
      <c r="E41" s="103"/>
      <c r="F41" s="103">
        <v>538429</v>
      </c>
      <c r="G41" s="102"/>
      <c r="H41" s="103">
        <f t="shared" si="0"/>
        <v>3421634</v>
      </c>
      <c r="I41" s="102"/>
      <c r="J41" s="102"/>
    </row>
    <row r="42" spans="1:10" s="106" customFormat="1" x14ac:dyDescent="0.25">
      <c r="A42" s="102" t="s">
        <v>60</v>
      </c>
      <c r="B42" s="103">
        <v>2162465</v>
      </c>
      <c r="C42" s="103"/>
      <c r="D42" s="103">
        <v>23254</v>
      </c>
      <c r="E42" s="103"/>
      <c r="F42" s="103">
        <v>491843</v>
      </c>
      <c r="G42" s="102"/>
      <c r="H42" s="103">
        <f t="shared" si="0"/>
        <v>2654308</v>
      </c>
      <c r="I42" s="102"/>
      <c r="J42" s="102"/>
    </row>
    <row r="43" spans="1:10" s="106" customFormat="1" x14ac:dyDescent="0.25">
      <c r="A43" s="102" t="s">
        <v>61</v>
      </c>
      <c r="B43" s="103">
        <v>5986423</v>
      </c>
      <c r="C43" s="103"/>
      <c r="D43" s="103">
        <v>35360</v>
      </c>
      <c r="E43" s="103"/>
      <c r="F43" s="103">
        <v>937232</v>
      </c>
      <c r="G43" s="102"/>
      <c r="H43" s="103">
        <f t="shared" si="0"/>
        <v>6923655</v>
      </c>
      <c r="I43" s="102"/>
      <c r="J43" s="102"/>
    </row>
    <row r="44" spans="1:10" s="106" customFormat="1" x14ac:dyDescent="0.25">
      <c r="A44" s="102" t="s">
        <v>62</v>
      </c>
      <c r="B44" s="103">
        <v>4186776</v>
      </c>
      <c r="C44" s="103"/>
      <c r="D44" s="103">
        <v>0</v>
      </c>
      <c r="E44" s="103"/>
      <c r="F44" s="103">
        <v>685486</v>
      </c>
      <c r="G44" s="102"/>
      <c r="H44" s="103">
        <f t="shared" si="0"/>
        <v>4872262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59895</v>
      </c>
      <c r="E46" s="103"/>
      <c r="F46" s="103">
        <v>-3047460</v>
      </c>
      <c r="G46" s="102"/>
      <c r="H46" s="103">
        <f t="shared" si="0"/>
        <v>1474213</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28" t="s">
        <v>55</v>
      </c>
      <c r="B48" s="103">
        <f>SUM(B39:B47)</f>
        <v>30032502</v>
      </c>
      <c r="C48" s="103"/>
      <c r="D48" s="103">
        <f>SUM(D39:D47)</f>
        <v>276449</v>
      </c>
      <c r="E48" s="103"/>
      <c r="F48" s="103">
        <f>SUM(F39:F47)</f>
        <v>1944294</v>
      </c>
      <c r="G48" s="102"/>
      <c r="H48" s="103">
        <f>SUM(H39:H47)</f>
        <v>31976796</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09"/>
    </row>
    <row r="53" spans="1:10" s="106" customFormat="1" ht="16.5" x14ac:dyDescent="0.35">
      <c r="A53" s="128"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194724</v>
      </c>
      <c r="G55" s="105"/>
      <c r="H55" s="104">
        <f>+H36-H48+H53</f>
        <v>576221</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J31" sqref="J31"/>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May 31,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6"/>
      <c r="C6" s="118"/>
      <c r="D6" s="116" t="s">
        <v>218</v>
      </c>
      <c r="E6" s="116"/>
      <c r="F6" s="116" t="s">
        <v>258</v>
      </c>
      <c r="G6" s="118"/>
      <c r="H6" s="116"/>
      <c r="I6" s="118"/>
      <c r="J6" s="102"/>
    </row>
    <row r="7" spans="1:10" s="106" customFormat="1" x14ac:dyDescent="0.25">
      <c r="A7" s="102"/>
      <c r="B7" s="118" t="s">
        <v>90</v>
      </c>
      <c r="C7" s="118"/>
      <c r="D7" s="116" t="s">
        <v>33</v>
      </c>
      <c r="E7" s="116"/>
      <c r="F7" s="116" t="s">
        <v>33</v>
      </c>
      <c r="G7" s="118"/>
      <c r="H7" s="116" t="s">
        <v>32</v>
      </c>
      <c r="I7" s="118"/>
      <c r="J7" s="102"/>
    </row>
    <row r="8" spans="1:10" s="106" customFormat="1" x14ac:dyDescent="0.25">
      <c r="A8" s="102"/>
      <c r="B8" s="124" t="s">
        <v>33</v>
      </c>
      <c r="C8" s="118"/>
      <c r="D8" s="117" t="s">
        <v>219</v>
      </c>
      <c r="E8" s="116"/>
      <c r="F8" s="115" t="s">
        <v>219</v>
      </c>
      <c r="G8" s="118"/>
      <c r="H8" s="115" t="s">
        <v>33</v>
      </c>
      <c r="I8" s="118"/>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0"/>
      <c r="D10" s="114">
        <v>0</v>
      </c>
      <c r="E10" s="120"/>
      <c r="F10" s="105">
        <v>0</v>
      </c>
      <c r="G10" s="119"/>
      <c r="H10" s="105">
        <f>+B10+F10</f>
        <v>2447900</v>
      </c>
      <c r="I10" s="119"/>
      <c r="J10" s="102"/>
    </row>
    <row r="11" spans="1:10" s="106" customFormat="1" ht="16.5" x14ac:dyDescent="0.35">
      <c r="A11" s="102" t="s">
        <v>78</v>
      </c>
      <c r="B11" s="123">
        <v>0</v>
      </c>
      <c r="C11" s="120"/>
      <c r="D11" s="121">
        <v>0</v>
      </c>
      <c r="E11" s="121"/>
      <c r="F11" s="121">
        <v>0</v>
      </c>
      <c r="G11" s="119"/>
      <c r="H11" s="121">
        <f>+B11+F11</f>
        <v>0</v>
      </c>
      <c r="I11" s="119"/>
      <c r="J11" s="102"/>
    </row>
    <row r="12" spans="1:10" s="106" customFormat="1" ht="16.5" x14ac:dyDescent="0.35">
      <c r="A12" s="118" t="s">
        <v>55</v>
      </c>
      <c r="B12" s="121">
        <f>SUM(B10:B11)</f>
        <v>2447900</v>
      </c>
      <c r="C12" s="120"/>
      <c r="D12" s="121">
        <f>SUM(D10:D11)</f>
        <v>0</v>
      </c>
      <c r="E12" s="120"/>
      <c r="F12" s="121">
        <f>SUM(F10:F11)</f>
        <v>0</v>
      </c>
      <c r="G12" s="119"/>
      <c r="H12" s="121">
        <f>SUM(H10:H11)</f>
        <v>2447900</v>
      </c>
      <c r="I12" s="119"/>
      <c r="J12" s="102"/>
    </row>
    <row r="13" spans="1:10" s="106" customFormat="1" x14ac:dyDescent="0.25">
      <c r="A13" s="102"/>
      <c r="B13" s="120"/>
      <c r="C13" s="120"/>
      <c r="D13" s="120"/>
      <c r="E13" s="120"/>
      <c r="F13" s="120"/>
      <c r="G13" s="119"/>
      <c r="H13" s="120"/>
      <c r="I13" s="119"/>
      <c r="J13" s="102"/>
    </row>
    <row r="14" spans="1:10" s="106" customFormat="1" x14ac:dyDescent="0.25">
      <c r="A14" s="102" t="s">
        <v>56</v>
      </c>
      <c r="B14" s="120"/>
      <c r="C14" s="120"/>
      <c r="D14" s="120"/>
      <c r="E14" s="120"/>
      <c r="F14" s="120"/>
      <c r="G14" s="119"/>
      <c r="H14" s="120"/>
      <c r="I14" s="119"/>
      <c r="J14" s="102"/>
    </row>
    <row r="15" spans="1:10" s="106" customFormat="1" x14ac:dyDescent="0.25">
      <c r="A15" s="102" t="s">
        <v>79</v>
      </c>
      <c r="B15" s="120">
        <v>567554</v>
      </c>
      <c r="C15" s="120"/>
      <c r="D15" s="120">
        <v>0</v>
      </c>
      <c r="E15" s="120"/>
      <c r="F15" s="120">
        <v>0</v>
      </c>
      <c r="G15" s="119"/>
      <c r="H15" s="120">
        <f t="shared" ref="H15:H27" si="0">+B15+F15</f>
        <v>567554</v>
      </c>
      <c r="I15" s="119"/>
      <c r="J15" s="102"/>
    </row>
    <row r="16" spans="1:10" s="106" customFormat="1" x14ac:dyDescent="0.25">
      <c r="A16" s="102" t="s">
        <v>80</v>
      </c>
      <c r="B16" s="120">
        <v>6905</v>
      </c>
      <c r="C16" s="120"/>
      <c r="D16" s="120">
        <v>0</v>
      </c>
      <c r="E16" s="120"/>
      <c r="F16" s="120">
        <v>194724</v>
      </c>
      <c r="G16" s="119"/>
      <c r="H16" s="120">
        <f t="shared" si="0"/>
        <v>201629</v>
      </c>
      <c r="I16" s="119"/>
      <c r="J16" s="102"/>
    </row>
    <row r="17" spans="1:10" s="106" customFormat="1" x14ac:dyDescent="0.25">
      <c r="A17" s="102" t="s">
        <v>81</v>
      </c>
      <c r="B17" s="120">
        <v>192919</v>
      </c>
      <c r="C17" s="120"/>
      <c r="D17" s="120">
        <v>0</v>
      </c>
      <c r="E17" s="120"/>
      <c r="F17" s="120">
        <v>0</v>
      </c>
      <c r="G17" s="119"/>
      <c r="H17" s="120">
        <f t="shared" si="0"/>
        <v>192919</v>
      </c>
      <c r="I17" s="119"/>
      <c r="J17" s="102"/>
    </row>
    <row r="18" spans="1:10" s="106" customFormat="1" x14ac:dyDescent="0.25">
      <c r="A18" s="102" t="s">
        <v>82</v>
      </c>
      <c r="B18" s="120">
        <v>139323</v>
      </c>
      <c r="C18" s="120"/>
      <c r="D18" s="120">
        <v>0</v>
      </c>
      <c r="E18" s="120"/>
      <c r="F18" s="120">
        <v>0</v>
      </c>
      <c r="G18" s="119"/>
      <c r="H18" s="120">
        <f t="shared" si="0"/>
        <v>139323</v>
      </c>
      <c r="I18" s="119"/>
      <c r="J18" s="102"/>
    </row>
    <row r="19" spans="1:10" s="106" customFormat="1" x14ac:dyDescent="0.25">
      <c r="A19" s="102" t="s">
        <v>83</v>
      </c>
      <c r="B19" s="120">
        <v>26850</v>
      </c>
      <c r="C19" s="120"/>
      <c r="D19" s="120">
        <v>0</v>
      </c>
      <c r="E19" s="120"/>
      <c r="F19" s="120">
        <v>0</v>
      </c>
      <c r="G19" s="119"/>
      <c r="H19" s="120">
        <f t="shared" si="0"/>
        <v>26850</v>
      </c>
      <c r="I19" s="119"/>
      <c r="J19" s="102"/>
    </row>
    <row r="20" spans="1:10" s="106" customFormat="1" x14ac:dyDescent="0.25">
      <c r="A20" s="102" t="s">
        <v>88</v>
      </c>
      <c r="B20" s="120">
        <v>11815</v>
      </c>
      <c r="C20" s="120"/>
      <c r="D20" s="120">
        <v>0</v>
      </c>
      <c r="E20" s="120"/>
      <c r="F20" s="120">
        <v>0</v>
      </c>
      <c r="G20" s="119"/>
      <c r="H20" s="120">
        <f t="shared" si="0"/>
        <v>11815</v>
      </c>
      <c r="I20" s="119"/>
      <c r="J20" s="102"/>
    </row>
    <row r="21" spans="1:10" s="106" customFormat="1" x14ac:dyDescent="0.25">
      <c r="A21" s="102" t="s">
        <v>84</v>
      </c>
      <c r="B21" s="120">
        <v>14175</v>
      </c>
      <c r="C21" s="120"/>
      <c r="D21" s="120">
        <v>0</v>
      </c>
      <c r="E21" s="120"/>
      <c r="F21" s="120">
        <v>0</v>
      </c>
      <c r="G21" s="119"/>
      <c r="H21" s="120">
        <f t="shared" si="0"/>
        <v>14175</v>
      </c>
      <c r="I21" s="119"/>
      <c r="J21" s="102"/>
    </row>
    <row r="22" spans="1:10" s="106" customFormat="1" x14ac:dyDescent="0.25">
      <c r="A22" s="102" t="s">
        <v>85</v>
      </c>
      <c r="B22" s="120">
        <v>4000</v>
      </c>
      <c r="C22" s="120"/>
      <c r="D22" s="120">
        <v>0</v>
      </c>
      <c r="E22" s="120"/>
      <c r="F22" s="120">
        <v>0</v>
      </c>
      <c r="G22" s="119"/>
      <c r="H22" s="120">
        <f t="shared" si="0"/>
        <v>4000</v>
      </c>
      <c r="I22" s="119"/>
      <c r="J22" s="102"/>
    </row>
    <row r="23" spans="1:10" s="106" customFormat="1" x14ac:dyDescent="0.25">
      <c r="A23" s="102" t="s">
        <v>86</v>
      </c>
      <c r="B23" s="120">
        <v>3000</v>
      </c>
      <c r="C23" s="120"/>
      <c r="D23" s="120">
        <v>0</v>
      </c>
      <c r="E23" s="120"/>
      <c r="F23" s="120">
        <v>0</v>
      </c>
      <c r="G23" s="119"/>
      <c r="H23" s="120">
        <f t="shared" si="0"/>
        <v>3000</v>
      </c>
      <c r="I23" s="119"/>
      <c r="J23" s="102"/>
    </row>
    <row r="24" spans="1:10" s="106" customFormat="1" x14ac:dyDescent="0.25">
      <c r="A24" s="102" t="s">
        <v>87</v>
      </c>
      <c r="B24" s="120">
        <f>199300+100073</f>
        <v>299373</v>
      </c>
      <c r="C24" s="120"/>
      <c r="D24" s="120">
        <v>0</v>
      </c>
      <c r="E24" s="120"/>
      <c r="F24" s="120">
        <v>0</v>
      </c>
      <c r="G24" s="119"/>
      <c r="H24" s="120">
        <f t="shared" si="0"/>
        <v>299373</v>
      </c>
      <c r="I24" s="119"/>
      <c r="J24" s="102"/>
    </row>
    <row r="25" spans="1:10" s="106" customFormat="1" x14ac:dyDescent="0.25">
      <c r="A25" s="102" t="s">
        <v>63</v>
      </c>
      <c r="B25" s="120">
        <v>42000</v>
      </c>
      <c r="C25" s="120"/>
      <c r="D25" s="120">
        <v>0</v>
      </c>
      <c r="E25" s="120"/>
      <c r="F25" s="120">
        <v>0</v>
      </c>
      <c r="G25" s="119"/>
      <c r="H25" s="120">
        <f t="shared" si="0"/>
        <v>42000</v>
      </c>
      <c r="I25" s="119"/>
      <c r="J25" s="102"/>
    </row>
    <row r="26" spans="1:10" s="106" customFormat="1" x14ac:dyDescent="0.25">
      <c r="A26" s="102" t="s">
        <v>64</v>
      </c>
      <c r="B26" s="120">
        <v>1514880</v>
      </c>
      <c r="C26" s="120"/>
      <c r="D26" s="120">
        <v>0</v>
      </c>
      <c r="E26" s="120"/>
      <c r="F26" s="120">
        <v>0</v>
      </c>
      <c r="G26" s="119"/>
      <c r="H26" s="120">
        <f t="shared" si="0"/>
        <v>1514880</v>
      </c>
      <c r="I26" s="119"/>
      <c r="J26" s="102"/>
    </row>
    <row r="27" spans="1:10" s="106" customFormat="1" ht="16.5" x14ac:dyDescent="0.35">
      <c r="A27" s="102" t="s">
        <v>89</v>
      </c>
      <c r="B27" s="121">
        <v>6603</v>
      </c>
      <c r="C27" s="120"/>
      <c r="D27" s="121">
        <v>0</v>
      </c>
      <c r="E27" s="120"/>
      <c r="F27" s="121">
        <v>0</v>
      </c>
      <c r="G27" s="122"/>
      <c r="H27" s="121">
        <f t="shared" si="0"/>
        <v>6603</v>
      </c>
      <c r="I27" s="119"/>
      <c r="J27" s="102"/>
    </row>
    <row r="28" spans="1:10" s="106" customFormat="1" ht="16.5" x14ac:dyDescent="0.35">
      <c r="A28" s="118" t="s">
        <v>55</v>
      </c>
      <c r="B28" s="121">
        <f>SUM(B15:B27)</f>
        <v>2829397</v>
      </c>
      <c r="C28" s="120"/>
      <c r="D28" s="121">
        <f>SUM(D15:D27)</f>
        <v>0</v>
      </c>
      <c r="E28" s="120"/>
      <c r="F28" s="121">
        <f>SUM(F15:F27)</f>
        <v>194724</v>
      </c>
      <c r="G28" s="119"/>
      <c r="H28" s="121">
        <f>SUM(H15:H27)</f>
        <v>3024121</v>
      </c>
      <c r="I28" s="119"/>
      <c r="J28" s="102"/>
    </row>
    <row r="29" spans="1:10" s="102" customFormat="1" ht="3.75" customHeight="1" x14ac:dyDescent="0.2">
      <c r="B29" s="120"/>
      <c r="C29" s="120"/>
      <c r="D29" s="120"/>
      <c r="E29" s="120"/>
      <c r="F29" s="120"/>
      <c r="G29" s="119"/>
      <c r="H29" s="120"/>
      <c r="I29" s="119"/>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09"/>
    </row>
    <row r="33" spans="1:10" s="106" customFormat="1" ht="16.5" x14ac:dyDescent="0.35">
      <c r="A33" s="118" t="s">
        <v>55</v>
      </c>
      <c r="B33" s="107">
        <f>SUM(B31:B32)</f>
        <v>0</v>
      </c>
      <c r="C33" s="107"/>
      <c r="D33" s="107">
        <f>SUM(D31:D32)</f>
        <v>0</v>
      </c>
      <c r="E33" s="107"/>
      <c r="F33" s="107">
        <f>SUM(F31:F32)</f>
        <v>0</v>
      </c>
      <c r="G33" s="108"/>
      <c r="H33" s="107">
        <f>SUM(H31:H32)</f>
        <v>0</v>
      </c>
      <c r="I33" s="102"/>
      <c r="J33" s="102"/>
    </row>
    <row r="34" spans="1:10" s="102" customFormat="1" ht="3.75" customHeight="1" x14ac:dyDescent="0.2">
      <c r="B34" s="120"/>
      <c r="C34" s="120"/>
      <c r="D34" s="120"/>
      <c r="E34" s="120"/>
      <c r="F34" s="120"/>
      <c r="G34" s="119"/>
      <c r="H34" s="120"/>
      <c r="I34" s="119"/>
    </row>
    <row r="35" spans="1:10" s="102" customFormat="1" x14ac:dyDescent="0.35">
      <c r="A35" s="102" t="s">
        <v>396</v>
      </c>
      <c r="B35" s="104">
        <f>+B12-B28+B33</f>
        <v>-381497</v>
      </c>
      <c r="C35" s="105"/>
      <c r="D35" s="104">
        <f>+D12-D28+D33</f>
        <v>0</v>
      </c>
      <c r="E35" s="105"/>
      <c r="F35" s="104">
        <f>+F12-F28+F33</f>
        <v>-194724</v>
      </c>
      <c r="G35" s="105"/>
      <c r="H35" s="104">
        <f>+H12-H28+H33</f>
        <v>-576221</v>
      </c>
    </row>
    <row r="36" spans="1:10" s="102" customFormat="1" ht="3.75" customHeight="1" x14ac:dyDescent="0.2">
      <c r="B36" s="120"/>
      <c r="C36" s="120"/>
      <c r="D36" s="120"/>
      <c r="E36" s="120"/>
      <c r="F36" s="120"/>
      <c r="G36" s="119"/>
      <c r="H36" s="120"/>
      <c r="I36" s="119"/>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F70" sqref="F70"/>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3" t="s">
        <v>0</v>
      </c>
      <c r="B1" s="133"/>
      <c r="C1" s="133"/>
      <c r="D1" s="133"/>
      <c r="E1" s="133"/>
      <c r="F1" s="133"/>
      <c r="G1" s="133"/>
      <c r="H1" s="133"/>
    </row>
    <row r="2" spans="1:8" x14ac:dyDescent="0.25">
      <c r="A2" s="134" t="s">
        <v>393</v>
      </c>
      <c r="B2" s="134"/>
      <c r="C2" s="134"/>
      <c r="D2" s="134"/>
      <c r="E2" s="134"/>
      <c r="F2" s="134"/>
      <c r="G2" s="134"/>
      <c r="H2" s="134"/>
    </row>
    <row r="3" spans="1:8" x14ac:dyDescent="0.25">
      <c r="A3" s="135" t="str">
        <f>+'Statement of Net Position'!A3:E3</f>
        <v>May 31, 2024</v>
      </c>
      <c r="B3" s="135"/>
      <c r="C3" s="135"/>
      <c r="D3" s="135"/>
      <c r="E3" s="135"/>
      <c r="F3" s="135"/>
      <c r="G3" s="135"/>
      <c r="H3" s="135"/>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37" zoomScaleNormal="100" workbookViewId="0">
      <selection activeCell="H10" sqref="H10"/>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10.71093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May 31,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45077</v>
      </c>
    </row>
    <row r="9" spans="1:11" x14ac:dyDescent="0.25">
      <c r="B9" s="22" t="s">
        <v>33</v>
      </c>
      <c r="C9" s="56"/>
      <c r="D9" s="23" t="s">
        <v>35</v>
      </c>
      <c r="E9" s="56"/>
      <c r="F9" s="22" t="s">
        <v>33</v>
      </c>
      <c r="G9" s="56"/>
      <c r="H9" s="24">
        <v>45077</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4000834.38</v>
      </c>
      <c r="F11" s="3">
        <f t="shared" ref="F11:F23" si="0">+(D11-B11)/B11+1</f>
        <v>0.74999997750469305</v>
      </c>
      <c r="H11" s="32">
        <f>+'Rev, Exp, Cha Unrestricted'!H10+'Rev, Exp, Cha Federal Restrict'!H10+'Rev, Exp, Cha State Restr '!H10+'Rev, Exp, Cha Local Restr '!H10+'Rev, Exp, Cha Debt Service'!H10</f>
        <v>3647994</v>
      </c>
      <c r="J11" s="3">
        <f>+(D11-H11)/H11+1</f>
        <v>1.0967217544765697</v>
      </c>
      <c r="K11" s="16" t="s">
        <v>111</v>
      </c>
    </row>
    <row r="12" spans="1:11" x14ac:dyDescent="0.25">
      <c r="A12" s="4" t="s">
        <v>92</v>
      </c>
      <c r="B12" s="25"/>
      <c r="C12" s="6"/>
      <c r="D12" s="32"/>
      <c r="F12" s="3"/>
      <c r="H12" s="32"/>
      <c r="J12" s="3"/>
    </row>
    <row r="13" spans="1:11" x14ac:dyDescent="0.25">
      <c r="A13" s="10" t="s">
        <v>93</v>
      </c>
      <c r="B13" s="5">
        <f>+'Rev, Exp, Cha Unrestricted'!B12</f>
        <v>1204695</v>
      </c>
      <c r="C13" s="6"/>
      <c r="D13" s="5">
        <f>+'Rev, Exp, Cha Unrestricted'!D12</f>
        <v>1204697</v>
      </c>
      <c r="F13" s="3">
        <f t="shared" si="0"/>
        <v>1.0000016601712467</v>
      </c>
      <c r="H13" s="5">
        <f>+'Rev, Exp, Cha Unrestricted'!H12</f>
        <v>1117907.99</v>
      </c>
      <c r="J13" s="3">
        <f>+(D13-H13)/H13+1</f>
        <v>1.0776351996553848</v>
      </c>
      <c r="K13" s="16" t="s">
        <v>112</v>
      </c>
    </row>
    <row r="14" spans="1:11" x14ac:dyDescent="0.25">
      <c r="A14" s="10" t="s">
        <v>94</v>
      </c>
      <c r="B14" s="5">
        <f>+'Rev, Exp, Cha Unrestricted'!B13</f>
        <v>456548</v>
      </c>
      <c r="C14" s="6"/>
      <c r="D14" s="5">
        <f>+'Rev, Exp, Cha Unrestricted'!D13</f>
        <v>456548.11</v>
      </c>
      <c r="F14" s="3">
        <f t="shared" si="0"/>
        <v>1.0000002409385211</v>
      </c>
      <c r="H14" s="5">
        <f>+'Rev, Exp, Cha Unrestricted'!H13</f>
        <v>385978.51</v>
      </c>
      <c r="J14" s="3">
        <f>+(D14-H14)/H14+1</f>
        <v>1.1828329768929362</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13863686.75</v>
      </c>
      <c r="F16" s="3">
        <f t="shared" si="0"/>
        <v>1.0088849044732364</v>
      </c>
      <c r="H16" s="5">
        <f>+'Rev, Exp, Cha Unrestricted'!H15+'Rev, Exp, Cha Federal Restrict'!H15+'Rev, Exp, Cha State Restr '!H15+'Rev, Exp, Cha Local Restr '!H15+'Rev, Exp, Cha Debt Service'!H12</f>
        <v>13439437.9</v>
      </c>
      <c r="J16" s="3">
        <f>+(D16-H16)/H16+1</f>
        <v>1.0315674549156553</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2874778.82</v>
      </c>
      <c r="F17" s="3">
        <f t="shared" si="0"/>
        <v>1.0087792726405029</v>
      </c>
      <c r="H17" s="5">
        <f>+'Rev, Exp, Cha Unrestricted'!H16+'Rev, Exp, Cha Federal Restrict'!H16+'Rev, Exp, Cha State Restr '!H16+'Rev, Exp, Cha Local Restr '!H16+'Rev, Exp, Cha Debt Service'!H13</f>
        <v>2623220.5299999998</v>
      </c>
      <c r="J17" s="3">
        <f>+(D17-H17)/H17+1</f>
        <v>1.095896737282702</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3793827.09</v>
      </c>
      <c r="F19" s="3">
        <f t="shared" si="0"/>
        <v>0.88721311647927315</v>
      </c>
      <c r="H19" s="5">
        <f>+'Rev, Exp, Cha Unrestricted'!H18+'Rev, Exp, Cha Federal Restrict'!H18+'Rev, Exp, Cha State Restr '!H18+'Rev, Exp, Cha Local Restr '!H18+'Rev, Exp, Cha Debt Service'!H15</f>
        <v>3607812.33</v>
      </c>
      <c r="J19" s="3">
        <f>+(D19-H19)/H19+1</f>
        <v>1.0515588791726314</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1161723.6100000001</v>
      </c>
      <c r="F20" s="3">
        <f t="shared" si="0"/>
        <v>0.7298106940819129</v>
      </c>
      <c r="H20" s="5">
        <f>+'Rev, Exp, Cha Unrestricted'!H19+'Rev, Exp, Cha Federal Restrict'!H19+'Rev, Exp, Cha State Restr '!H19+'Rev, Exp, Cha Local Restr '!H19+'Rev, Exp, Cha Debt Service'!H16</f>
        <v>961706.65</v>
      </c>
      <c r="J20" s="3">
        <f>+(D20-H20)/H20+1</f>
        <v>1.2079812591500745</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-127075</v>
      </c>
      <c r="F21" s="3">
        <f t="shared" si="0"/>
        <v>0.57761363636363638</v>
      </c>
      <c r="H21" s="5">
        <f>+'Rev, Exp, Cha Unrestricted'!H20+'Rev, Exp, Cha Federal Restrict'!H20+'Rev, Exp, Cha State Restr '!H20+'Rev, Exp, Cha Local Restr '!H20+'Rev, Exp, Cha Debt Service'!H17</f>
        <v>-101891</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4428374.22</v>
      </c>
      <c r="F23" s="3">
        <f t="shared" si="0"/>
        <v>0.88827714071142816</v>
      </c>
      <c r="H23" s="5">
        <f>+'Rev, Exp, Cha Unrestricted'!H22+'Rev, Exp, Cha Federal Restrict'!H22+'Rev, Exp, Cha State Restr '!H22+'Rev, Exp, Cha Local Restr '!H22+'Rev, Exp, Cha Debt Service'!H19</f>
        <v>4102007.64</v>
      </c>
      <c r="J23" s="3">
        <f>+(D23-H23)/H23+1</f>
        <v>1.0795626455732295</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-143235.5</v>
      </c>
      <c r="F26" s="3">
        <f t="shared" ref="F26:F33" si="1">+(D26-B26)/B26+1</f>
        <v>0.47745166666666672</v>
      </c>
      <c r="H26" s="5">
        <f>+'Rev, Exp, Cha Unrestricted'!H25+'Rev, Exp, Cha Federal Restrict'!H25+'Rev, Exp, Cha State Restr '!H25+'Rev, Exp, Cha Local Restr '!H25+'Rev, Exp, Cha Debt Service'!H22</f>
        <v>-159445.10999999999</v>
      </c>
      <c r="J26" s="3">
        <f t="shared" ref="J26:J33" si="2">+(D26-H26)/H26+1</f>
        <v>0.8983373651283505</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446565.22</v>
      </c>
      <c r="F28" s="3">
        <f t="shared" si="1"/>
        <v>1.030942741976443</v>
      </c>
      <c r="H28" s="5">
        <f>+'Rev, Exp, Cha Unrestricted'!H27+'Rev, Exp, Cha Federal Restrict'!H27+'Rev, Exp, Cha State Restr '!H27+'Rev, Exp, Cha Local Restr '!H27+'Rev, Exp, Cha Debt Service'!H24</f>
        <v>372347.8</v>
      </c>
      <c r="J28" s="3">
        <f t="shared" si="2"/>
        <v>1.1993228374116887</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800003</v>
      </c>
      <c r="C30" s="6"/>
      <c r="D30" s="5">
        <f>+'Rev, Exp, Cha Unrestricted'!D28+'Rev, Exp, Cha Federal Restrict'!D28+'Rev, Exp, Cha State Restr '!D28+'Rev, Exp, Cha Local Restr '!D28+'Rev, Exp, Cha Debt Service'!D26</f>
        <v>563426.99</v>
      </c>
      <c r="F30" s="3">
        <f t="shared" si="1"/>
        <v>0.70428109644588832</v>
      </c>
      <c r="H30" s="5">
        <f>+'Rev, Exp, Cha Unrestricted'!H28+'Rev, Exp, Cha Federal Restrict'!H28+'Rev, Exp, Cha State Restr '!H28+'Rev, Exp, Cha Local Restr '!H28+'Rev, Exp, Cha Debt Service'!H26</f>
        <v>368684.43</v>
      </c>
      <c r="J30" s="3">
        <f t="shared" si="2"/>
        <v>1.528209341522776</v>
      </c>
      <c r="K30" s="16" t="s">
        <v>127</v>
      </c>
    </row>
    <row r="31" spans="1:13" x14ac:dyDescent="0.25">
      <c r="A31" s="4" t="s">
        <v>64</v>
      </c>
      <c r="B31" s="6">
        <f>+'Rev, Exp, Cha Auxiliary'!B13</f>
        <v>2447900</v>
      </c>
      <c r="C31" s="6"/>
      <c r="D31" s="5">
        <f>+'Rev, Exp, Cha Auxiliary'!D13</f>
        <v>1416445.96</v>
      </c>
      <c r="F31" s="3">
        <f t="shared" si="1"/>
        <v>0.57863718289145805</v>
      </c>
      <c r="H31" s="5">
        <f>+'Rev, Exp, Cha Auxiliary'!H13</f>
        <v>1488284.75</v>
      </c>
      <c r="J31" s="3">
        <f t="shared" si="2"/>
        <v>0.95173048033986773</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93002.42</v>
      </c>
      <c r="F32" s="3">
        <f t="shared" si="1"/>
        <v>0.81688555116381201</v>
      </c>
      <c r="H32" s="5">
        <f>+'Rev, Exp, Cha Unrestricted'!H30+'Rev, Exp, Cha Federal Restrict'!H30+'Rev, Exp, Cha State Restr '!H30+'Rev, Exp, Cha Local Restr '!H30+'Rev, Exp, Cha Debt Service'!H28</f>
        <v>98811.77</v>
      </c>
      <c r="J32" s="3">
        <f t="shared" si="2"/>
        <v>0.94120791480610044</v>
      </c>
      <c r="K32" s="16" t="s">
        <v>129</v>
      </c>
    </row>
    <row r="33" spans="1:11" x14ac:dyDescent="0.25">
      <c r="A33" s="4" t="s">
        <v>63</v>
      </c>
      <c r="B33" s="6">
        <f>+'Rev, Exp, Cha Unrestricted'!B31+'Rev, Exp, Cha Federal Restrict'!B31+'Rev, Exp, Cha State Restr '!B31+'Rev, Exp, Cha Local Restr '!B31+'Rev, Exp, Cha Debt Service'!B29</f>
        <v>3312156</v>
      </c>
      <c r="C33" s="6"/>
      <c r="D33" s="5">
        <f>+'Rev, Exp, Cha Unrestricted'!D31+'Rev, Exp, Cha Federal Restrict'!D31+'Rev, Exp, Cha State Restr '!D31+'Rev, Exp, Cha Local Restr '!D31+'Rev, Exp, Cha Debt Service'!D29</f>
        <v>6131234.75</v>
      </c>
      <c r="F33" s="3">
        <f t="shared" si="1"/>
        <v>1.8511310306640145</v>
      </c>
      <c r="H33" s="5">
        <f>+'Rev, Exp, Cha Unrestricted'!H31+'Rev, Exp, Cha Federal Restrict'!H31+'Rev, Exp, Cha State Restr '!H31+'Rev, Exp, Cha Local Restr '!H31+'Rev, Exp, Cha Debt Service'!H29</f>
        <v>5286669.7300000004</v>
      </c>
      <c r="J33" s="3">
        <f t="shared" si="2"/>
        <v>1.1597536943167432</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3032524</v>
      </c>
      <c r="C35" s="6"/>
      <c r="D35" s="5">
        <f>+'Rev, Exp, Cha Unrestricted'!D33+'Rev, Exp, Cha Federal Restrict'!D33+'Rev, Exp, Cha State Restr '!D33+'Rev, Exp, Cha Local Restr '!D33+'Rev, Exp, Cha Debt Service'!D31</f>
        <v>4365891.63</v>
      </c>
      <c r="F35" s="3">
        <f t="shared" ref="F35:F38" si="3">+(D35-B35)/B35+1</f>
        <v>1.4396890609934165</v>
      </c>
      <c r="H35" s="5">
        <f>+'Rev, Exp, Cha Unrestricted'!H33+'Rev, Exp, Cha Federal Restrict'!H33+'Rev, Exp, Cha State Restr '!H33+'Rev, Exp, Cha Local Restr '!H33+'Rev, Exp, Cha Debt Service'!H31</f>
        <v>2608458</v>
      </c>
      <c r="J35" s="3">
        <f t="shared" ref="J35:J38" si="4">+(D35-H35)/H35+1</f>
        <v>1.6737442696029607</v>
      </c>
      <c r="K35" s="16" t="s">
        <v>140</v>
      </c>
    </row>
    <row r="36" spans="1:11" x14ac:dyDescent="0.25">
      <c r="A36" s="10" t="s">
        <v>52</v>
      </c>
      <c r="B36" s="6">
        <f>+'Rev, Exp, Cha Unrestricted'!B34+'Rev, Exp, Cha Federal Restrict'!B34+'Rev, Exp, Cha State Restr '!B34+'Rev, Exp, Cha Local Restr '!B34+'Rev, Exp, Cha Debt Service'!B32</f>
        <v>219317</v>
      </c>
      <c r="C36" s="6"/>
      <c r="D36" s="5">
        <f>+'Rev, Exp, Cha Unrestricted'!D34+'Rev, Exp, Cha Federal Restrict'!D34+'Rev, Exp, Cha State Restr '!D34+'Rev, Exp, Cha Local Restr '!D34+'Rev, Exp, Cha Debt Service'!D32</f>
        <v>559625.72</v>
      </c>
      <c r="F36" s="3">
        <f t="shared" si="3"/>
        <v>2.5516750639485313</v>
      </c>
      <c r="H36" s="5">
        <f>+'Rev, Exp, Cha Unrestricted'!H34+'Rev, Exp, Cha Federal Restrict'!H34+'Rev, Exp, Cha State Restr '!H34+'Rev, Exp, Cha Local Restr '!H34+'Rev, Exp, Cha Debt Service'!H32</f>
        <v>265501.15999999997</v>
      </c>
      <c r="J36" s="3">
        <f t="shared" si="4"/>
        <v>2.107808945166191</v>
      </c>
      <c r="K36" s="16" t="s">
        <v>141</v>
      </c>
    </row>
    <row r="37" spans="1:11" ht="16.5" x14ac:dyDescent="0.35">
      <c r="A37" s="10" t="s">
        <v>54</v>
      </c>
      <c r="B37" s="26">
        <f>+'Rev, Exp, Cha Unrestricted'!B35+'Rev, Exp, Cha Federal Restrict'!B35+'Rev, Exp, Cha State Restr '!B35+'Rev, Exp, Cha Local Restr '!B35+'Rev, Exp, Cha Debt Service'!B33</f>
        <v>623324</v>
      </c>
      <c r="C37" s="6"/>
      <c r="D37" s="8">
        <f>+'Rev, Exp, Cha Unrestricted'!D35+'Rev, Exp, Cha Federal Restrict'!D35+'Rev, Exp, Cha State Restr '!D35+'Rev, Exp, Cha Local Restr '!D35+'Rev, Exp, Cha Debt Service'!D33</f>
        <v>727536.79</v>
      </c>
      <c r="F37" s="3">
        <f t="shared" si="3"/>
        <v>1.1671887974793207</v>
      </c>
      <c r="H37" s="8">
        <f>+'Rev, Exp, Cha Unrestricted'!H35+'Rev, Exp, Cha Federal Restrict'!H35+'Rev, Exp, Cha State Restr '!H35+'Rev, Exp, Cha Local Restr '!H35+'Rev, Exp, Cha Debt Service'!H33</f>
        <v>171065.76</v>
      </c>
      <c r="J37" s="3">
        <f t="shared" si="4"/>
        <v>4.2529655846967858</v>
      </c>
      <c r="K37" s="16" t="s">
        <v>142</v>
      </c>
    </row>
    <row r="38" spans="1:11" ht="16.5" x14ac:dyDescent="0.35">
      <c r="A38" s="56" t="s">
        <v>55</v>
      </c>
      <c r="B38" s="26">
        <f>SUM(B11:B37)</f>
        <v>44902563</v>
      </c>
      <c r="C38" s="6"/>
      <c r="D38" s="8">
        <f>SUM(D11:D37)</f>
        <v>45817888.960000001</v>
      </c>
      <c r="F38" s="3">
        <f t="shared" si="3"/>
        <v>1.020384715233293</v>
      </c>
      <c r="H38" s="8">
        <f>SUM(H11:H37)</f>
        <v>40284552.839999996</v>
      </c>
      <c r="J38" s="3">
        <f t="shared" si="4"/>
        <v>1.1373562750460955</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12955879</v>
      </c>
      <c r="C41" s="6"/>
      <c r="D41" s="5">
        <f>+'Rev, Exp, Cha Unrestricted'!D39+'Rev, Exp, Cha Federal Restrict'!D39+'Rev, Exp, Cha State Restr '!D39+'Rev, Exp, Cha Local Restr '!D39</f>
        <v>10885581.35</v>
      </c>
      <c r="F41" s="3">
        <f t="shared" ref="F41:F52" si="5">+(D41-B41)/B41+1</f>
        <v>0.84020399928094414</v>
      </c>
      <c r="H41" s="5">
        <f>+'Rev, Exp, Cha Unrestricted'!H39+'Rev, Exp, Cha Federal Restrict'!H39+'Rev, Exp, Cha State Restr '!H39+'Rev, Exp, Cha Local Restr '!H39</f>
        <v>9913748.3200000003</v>
      </c>
      <c r="J41" s="3">
        <f t="shared" ref="J41:J50" si="6">+(D41-H41)/H41+1</f>
        <v>1.098028818024301</v>
      </c>
      <c r="K41" s="16" t="s">
        <v>143</v>
      </c>
    </row>
    <row r="42" spans="1:11" x14ac:dyDescent="0.25">
      <c r="A42" s="4" t="s">
        <v>58</v>
      </c>
      <c r="B42" s="6">
        <f>+'Rev, Exp, Cha Unrestricted'!B40+'Rev, Exp, Cha Federal Restrict'!B40+'Rev, Exp, Cha State Restr '!B40+'Rev, Exp, Cha Local Restr '!B40</f>
        <v>405549</v>
      </c>
      <c r="C42" s="6"/>
      <c r="D42" s="5">
        <f>+'Rev, Exp, Cha Unrestricted'!D40+'Rev, Exp, Cha Federal Restrict'!D40+'Rev, Exp, Cha State Restr '!D40+'Rev, Exp, Cha Local Restr '!D40</f>
        <v>156426.23000000001</v>
      </c>
      <c r="F42" s="3">
        <f t="shared" si="5"/>
        <v>0.38571474716988574</v>
      </c>
      <c r="H42" s="5">
        <f>+'Rev, Exp, Cha Unrestricted'!H40+'Rev, Exp, Cha Federal Restrict'!H40+'Rev, Exp, Cha State Restr '!H40+'Rev, Exp, Cha Local Restr '!H40</f>
        <v>166030.82999999999</v>
      </c>
      <c r="J42" s="3">
        <f t="shared" si="6"/>
        <v>0.94215170760755718</v>
      </c>
      <c r="K42" s="16" t="s">
        <v>146</v>
      </c>
    </row>
    <row r="43" spans="1:11" x14ac:dyDescent="0.25">
      <c r="A43" s="4" t="s">
        <v>59</v>
      </c>
      <c r="B43" s="6">
        <f>+'Rev, Exp, Cha Unrestricted'!B41+'Rev, Exp, Cha Federal Restrict'!B41+'Rev, Exp, Cha State Restr '!B41+'Rev, Exp, Cha Local Restr '!B41</f>
        <v>3431675</v>
      </c>
      <c r="C43" s="6"/>
      <c r="D43" s="5">
        <f>+'Rev, Exp, Cha Unrestricted'!D41+'Rev, Exp, Cha Federal Restrict'!D41+'Rev, Exp, Cha State Restr '!D41+'Rev, Exp, Cha Local Restr '!D41</f>
        <v>2570779.5399999996</v>
      </c>
      <c r="F43" s="3">
        <f t="shared" si="5"/>
        <v>0.7491325781141861</v>
      </c>
      <c r="H43" s="5">
        <f>+'Rev, Exp, Cha Unrestricted'!H41+'Rev, Exp, Cha Federal Restrict'!H41+'Rev, Exp, Cha State Restr '!H41+'Rev, Exp, Cha Local Restr '!H41</f>
        <v>2750814.9</v>
      </c>
      <c r="J43" s="3">
        <f t="shared" si="6"/>
        <v>0.9345519903938283</v>
      </c>
      <c r="K43" s="16" t="s">
        <v>151</v>
      </c>
    </row>
    <row r="44" spans="1:11" x14ac:dyDescent="0.25">
      <c r="A44" s="4" t="s">
        <v>60</v>
      </c>
      <c r="B44" s="6">
        <f>+'Rev, Exp, Cha Unrestricted'!B42+'Rev, Exp, Cha Federal Restrict'!B42+'Rev, Exp, Cha State Restr '!B42+'Rev, Exp, Cha Local Restr '!B42</f>
        <v>3082586</v>
      </c>
      <c r="C44" s="6"/>
      <c r="D44" s="5">
        <f>+'Rev, Exp, Cha Unrestricted'!D42+'Rev, Exp, Cha Federal Restrict'!D42+'Rev, Exp, Cha State Restr '!D42+'Rev, Exp, Cha Local Restr '!D42</f>
        <v>2615876.2800000003</v>
      </c>
      <c r="F44" s="3">
        <f t="shared" si="5"/>
        <v>0.84859798883145521</v>
      </c>
      <c r="H44" s="5">
        <f>+'Rev, Exp, Cha Unrestricted'!H42+'Rev, Exp, Cha Federal Restrict'!H42+'Rev, Exp, Cha State Restr '!H42+'Rev, Exp, Cha Local Restr '!H42</f>
        <v>2700955.91</v>
      </c>
      <c r="J44" s="3">
        <f t="shared" si="6"/>
        <v>0.96850017814618827</v>
      </c>
      <c r="K44" s="16" t="s">
        <v>155</v>
      </c>
    </row>
    <row r="45" spans="1:11" x14ac:dyDescent="0.25">
      <c r="A45" s="4" t="s">
        <v>61</v>
      </c>
      <c r="B45" s="6">
        <f>+'Rev, Exp, Cha Unrestricted'!B43+'Rev, Exp, Cha Federal Restrict'!B43+'Rev, Exp, Cha State Restr '!B43+'Rev, Exp, Cha Local Restr '!B43</f>
        <v>8771535</v>
      </c>
      <c r="C45" s="6"/>
      <c r="D45" s="5">
        <f>+'Rev, Exp, Cha Unrestricted'!D43+'Rev, Exp, Cha Federal Restrict'!D43+'Rev, Exp, Cha State Restr '!D43+'Rev, Exp, Cha Local Restr '!D43</f>
        <v>7924540.9700000007</v>
      </c>
      <c r="F45" s="3">
        <f t="shared" si="5"/>
        <v>0.90343833433942866</v>
      </c>
      <c r="H45" s="5">
        <f>+'Rev, Exp, Cha Unrestricted'!H43+'Rev, Exp, Cha Federal Restrict'!H43+'Rev, Exp, Cha State Restr '!H43+'Rev, Exp, Cha Local Restr '!H43</f>
        <v>5289187.59</v>
      </c>
      <c r="J45" s="3">
        <f t="shared" si="6"/>
        <v>1.4982529613777607</v>
      </c>
      <c r="K45" s="16" t="s">
        <v>160</v>
      </c>
    </row>
    <row r="46" spans="1:11" x14ac:dyDescent="0.25">
      <c r="A46" s="4" t="s">
        <v>62</v>
      </c>
      <c r="B46" s="6">
        <f>+'Rev, Exp, Cha Unrestricted'!B44+'Rev, Exp, Cha Federal Restrict'!B44+'Rev, Exp, Cha State Restr '!B44+'Rev, Exp, Cha Local Restr '!B44</f>
        <v>4872262</v>
      </c>
      <c r="C46" s="6"/>
      <c r="D46" s="5">
        <f>+'Rev, Exp, Cha Unrestricted'!D44+'Rev, Exp, Cha Federal Restrict'!D44+'Rev, Exp, Cha State Restr '!D44+'Rev, Exp, Cha Local Restr '!D44</f>
        <v>4100094.17</v>
      </c>
      <c r="F46" s="3">
        <f t="shared" si="5"/>
        <v>0.84151758875035865</v>
      </c>
      <c r="H46" s="5">
        <f>+'Rev, Exp, Cha Unrestricted'!H44+'Rev, Exp, Cha Federal Restrict'!H44+'Rev, Exp, Cha State Restr '!H44+'Rev, Exp, Cha Local Restr '!H44</f>
        <v>3203863.97</v>
      </c>
      <c r="J46" s="3">
        <f t="shared" si="6"/>
        <v>1.2797341611229518</v>
      </c>
      <c r="K46" s="16" t="s">
        <v>176</v>
      </c>
    </row>
    <row r="47" spans="1:11" x14ac:dyDescent="0.25">
      <c r="A47" s="4" t="s">
        <v>63</v>
      </c>
      <c r="B47" s="6">
        <f>+'Rev, Exp, Cha Unrestricted'!B45+'Rev, Exp, Cha Federal Restrict'!B45+'Rev, Exp, Cha State Restr '!B45+'Rev, Exp, Cha Local Restr '!B45</f>
        <v>3718024</v>
      </c>
      <c r="C47" s="6"/>
      <c r="D47" s="5">
        <f>+'Rev, Exp, Cha Unrestricted'!D45+'Rev, Exp, Cha Federal Restrict'!D45+'Rev, Exp, Cha State Restr '!D45+'Rev, Exp, Cha Local Restr '!D45</f>
        <v>7023725.6299999999</v>
      </c>
      <c r="F47" s="3">
        <f t="shared" si="5"/>
        <v>1.8891017459811987</v>
      </c>
      <c r="H47" s="5">
        <f>+'Rev, Exp, Cha Unrestricted'!H45+'Rev, Exp, Cha Federal Restrict'!H45+'Rev, Exp, Cha State Restr '!H45+'Rev, Exp, Cha Local Restr '!H45</f>
        <v>5849855.2499999991</v>
      </c>
      <c r="J47" s="3">
        <f t="shared" si="6"/>
        <v>1.2006665686300531</v>
      </c>
      <c r="K47" s="16" t="s">
        <v>183</v>
      </c>
    </row>
    <row r="48" spans="1:11" x14ac:dyDescent="0.25">
      <c r="A48" s="4" t="s">
        <v>64</v>
      </c>
      <c r="B48" s="6">
        <f>+'Rev, Exp, Cha Auxiliary'!B30</f>
        <v>3024121</v>
      </c>
      <c r="C48" s="6"/>
      <c r="D48" s="5">
        <f>+'Rev, Exp, Cha Auxiliary'!D30</f>
        <v>2027381.2899999998</v>
      </c>
      <c r="F48" s="3">
        <f t="shared" si="5"/>
        <v>0.67040349575959424</v>
      </c>
      <c r="H48" s="5">
        <f>+'Rev, Exp, Cha Auxiliary'!H30</f>
        <v>1993678.44</v>
      </c>
      <c r="J48" s="3">
        <f t="shared" si="6"/>
        <v>1.0169048575356012</v>
      </c>
      <c r="K48" s="16" t="s">
        <v>189</v>
      </c>
    </row>
    <row r="49" spans="1:11" x14ac:dyDescent="0.25">
      <c r="A49" s="4" t="s">
        <v>76</v>
      </c>
      <c r="B49" s="6">
        <f>+'Rev, Exp, Cha Unrestricted'!B47+'Rev, Exp, Cha Federal Restrict'!B47+'Rev, Exp, Cha State Restr '!B47+'Rev, Exp, Cha Local Restr '!B47</f>
        <v>1474213</v>
      </c>
      <c r="C49" s="6"/>
      <c r="D49" s="5">
        <f>+'Rev, Exp, Cha Unrestricted'!D47+'Rev, Exp, Cha Federal Restrict'!D47+'Rev, Exp, Cha State Restr '!D47+'Rev, Exp, Cha Local Restr '!D47</f>
        <v>999544</v>
      </c>
      <c r="F49" s="3">
        <f t="shared" si="5"/>
        <v>0.67801871235703381</v>
      </c>
      <c r="H49" s="5">
        <f>+'Rev, Exp, Cha Unrestricted'!H47+'Rev, Exp, Cha Federal Restrict'!H47+'Rev, Exp, Cha State Restr '!H47+'Rev, Exp, Cha Local Restr '!H47</f>
        <v>1499087.09</v>
      </c>
      <c r="J49" s="3">
        <f t="shared" si="6"/>
        <v>0.66676846640044107</v>
      </c>
      <c r="K49" s="16" t="s">
        <v>191</v>
      </c>
    </row>
    <row r="50" spans="1:11" x14ac:dyDescent="0.25">
      <c r="A50" s="4" t="s">
        <v>50</v>
      </c>
      <c r="B50" s="6">
        <f>+'Rev, Exp, Cha Debt Service'!B40</f>
        <v>3049760</v>
      </c>
      <c r="C50" s="6"/>
      <c r="D50" s="5">
        <f>+'Rev, Exp, Cha Debt Service'!D40</f>
        <v>450075.9</v>
      </c>
      <c r="F50" s="3">
        <f t="shared" si="5"/>
        <v>0.14757748150674144</v>
      </c>
      <c r="H50" s="5">
        <f>+'Rev, Exp, Cha Debt Service'!H40</f>
        <v>284793.75</v>
      </c>
      <c r="J50" s="3">
        <f t="shared" si="6"/>
        <v>1.5803573638817565</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44794655</v>
      </c>
      <c r="C52" s="6"/>
      <c r="D52" s="8">
        <f>SUM(D41:D51)</f>
        <v>38754025.359999999</v>
      </c>
      <c r="F52" s="3">
        <f t="shared" si="5"/>
        <v>0.86514842808812786</v>
      </c>
      <c r="H52" s="8">
        <f>SUM(H41:H51)</f>
        <v>33652016.049999997</v>
      </c>
      <c r="J52" s="3">
        <f t="shared" ref="J52" si="7">+(D52-H52)/H52+1</f>
        <v>1.1516108069846236</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334092</v>
      </c>
      <c r="C55" s="6"/>
      <c r="D55" s="5">
        <f>+'Rev, Exp, Cha Unrestricted'!D53+'Rev, Exp, Cha Federal Restrict'!D52+'Rev, Exp, Cha State Restr '!D52+'Rev, Exp, Cha Local Restr '!D52+'Rev, Exp, Cha Auxiliary'!D33+'Rev, Exp, Cha Debt Service'!D43</f>
        <v>288682.88</v>
      </c>
      <c r="F55" s="3">
        <f t="shared" ref="F55:F56" si="8">+(D55-B55)/B55+1</f>
        <v>0.86408198939214353</v>
      </c>
      <c r="H55" s="5">
        <f>+'Rev, Exp, Cha Unrestricted'!H53+'Rev, Exp, Cha Federal Restrict'!H52+'Rev, Exp, Cha State Restr '!H52+'Rev, Exp, Cha Local Restr '!H52+'Rev, Exp, Cha Auxiliary'!H33+'Rev, Exp, Cha Debt Service'!H43</f>
        <v>270914.84000000003</v>
      </c>
      <c r="J55" s="3">
        <f t="shared" ref="J55:J56" si="9">+(D55-H55)/H55+1</f>
        <v>1.0655853330146108</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-730677.4</v>
      </c>
      <c r="F56" s="3">
        <f t="shared" si="8"/>
        <v>1.6531162895927602</v>
      </c>
      <c r="H56" s="8">
        <f>+'Rev, Exp, Cha Unrestricted'!H54+'Rev, Exp, Cha Federal Restrict'!H53+'Rev, Exp, Cha State Restr '!H53+'Rev, Exp, Cha Local Restr '!H53+'Rev, Exp, Cha Debt Service'!H44</f>
        <v>-712911.72</v>
      </c>
      <c r="J56" s="3">
        <f t="shared" si="9"/>
        <v>1.0249198876966141</v>
      </c>
    </row>
    <row r="57" spans="1:11" ht="16.5" x14ac:dyDescent="0.35">
      <c r="A57" s="56" t="s">
        <v>55</v>
      </c>
      <c r="B57" s="26">
        <f>SUM(B55:B56)</f>
        <v>-107908</v>
      </c>
      <c r="C57" s="6"/>
      <c r="D57" s="8">
        <f>SUM(D55:D56)</f>
        <v>-441994.52</v>
      </c>
      <c r="F57" s="3"/>
      <c r="G57" s="26">
        <f>SUM(G55:G56)</f>
        <v>0</v>
      </c>
      <c r="H57" s="8">
        <f>SUM(H55:H56)</f>
        <v>-441996.87999999995</v>
      </c>
      <c r="J57" s="3"/>
    </row>
    <row r="58" spans="1:11" ht="3.95" customHeight="1" x14ac:dyDescent="0.25">
      <c r="B58" s="6"/>
      <c r="C58" s="6"/>
      <c r="D58" s="6"/>
      <c r="F58" s="3"/>
      <c r="H58" s="6"/>
      <c r="J58" s="3"/>
    </row>
    <row r="59" spans="1:11" ht="16.5" x14ac:dyDescent="0.35">
      <c r="A59" s="4" t="s">
        <v>397</v>
      </c>
      <c r="B59" s="34">
        <f>+B38-B52+B57</f>
        <v>0</v>
      </c>
      <c r="C59" s="6"/>
      <c r="D59" s="9">
        <f>+D38-D52+D57</f>
        <v>6621869.0800000019</v>
      </c>
      <c r="F59" s="3"/>
      <c r="H59" s="9">
        <f>+H38-H52+H57</f>
        <v>6190539.9099999992</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1"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F70" sqref="F70"/>
    </sheetView>
  </sheetViews>
  <sheetFormatPr defaultRowHeight="15" x14ac:dyDescent="0.25"/>
  <cols>
    <col min="1" max="1" width="6.5703125" style="43" customWidth="1"/>
    <col min="2" max="2" width="33.28515625" style="2" customWidth="1"/>
    <col min="3" max="8" width="9.140625" style="2"/>
  </cols>
  <sheetData>
    <row r="1" spans="1:8" ht="15.75" x14ac:dyDescent="0.25">
      <c r="A1" s="133" t="s">
        <v>0</v>
      </c>
      <c r="B1" s="133"/>
      <c r="C1" s="133"/>
      <c r="D1" s="133"/>
      <c r="E1" s="133"/>
      <c r="F1" s="133"/>
      <c r="G1" s="133"/>
      <c r="H1" s="133"/>
    </row>
    <row r="2" spans="1:8" x14ac:dyDescent="0.25">
      <c r="A2" s="134" t="s">
        <v>395</v>
      </c>
      <c r="B2" s="134"/>
      <c r="C2" s="134"/>
      <c r="D2" s="134"/>
      <c r="E2" s="134"/>
      <c r="F2" s="134"/>
      <c r="G2" s="134"/>
      <c r="H2" s="134"/>
    </row>
    <row r="3" spans="1:8" x14ac:dyDescent="0.25">
      <c r="A3" s="135" t="str">
        <f>+'Statement of Net Position'!A3:E3</f>
        <v>May 31, 2024</v>
      </c>
      <c r="B3" s="135"/>
      <c r="C3" s="135"/>
      <c r="D3" s="135"/>
      <c r="E3" s="135"/>
      <c r="F3" s="135"/>
      <c r="G3" s="135"/>
      <c r="H3" s="135"/>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6" t="s">
        <v>205</v>
      </c>
      <c r="C9" s="136"/>
      <c r="D9" s="136"/>
      <c r="E9" s="136"/>
      <c r="F9" s="136"/>
      <c r="G9" s="136"/>
      <c r="H9" s="136"/>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6" t="s">
        <v>248</v>
      </c>
      <c r="C13" s="136"/>
      <c r="D13" s="136"/>
      <c r="E13" s="136"/>
      <c r="F13" s="136"/>
      <c r="G13" s="136"/>
      <c r="H13" s="136"/>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6" t="s">
        <v>249</v>
      </c>
      <c r="C18" s="136"/>
      <c r="D18" s="136"/>
      <c r="E18" s="136"/>
      <c r="F18" s="136"/>
      <c r="G18" s="136"/>
      <c r="H18" s="136"/>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6" t="s">
        <v>285</v>
      </c>
      <c r="C34" s="136"/>
      <c r="D34" s="136"/>
      <c r="E34" s="136"/>
      <c r="F34" s="136"/>
      <c r="G34" s="136"/>
      <c r="H34" s="136"/>
    </row>
    <row r="35" spans="1:8" s="65" customFormat="1" ht="15" customHeight="1" x14ac:dyDescent="0.25">
      <c r="B35" s="75" t="s">
        <v>121</v>
      </c>
    </row>
    <row r="36" spans="1:8" s="65" customFormat="1" ht="15" customHeight="1" x14ac:dyDescent="0.25">
      <c r="A36" s="64" t="s">
        <v>122</v>
      </c>
      <c r="B36" s="136" t="s">
        <v>250</v>
      </c>
      <c r="C36" s="136"/>
      <c r="D36" s="136"/>
      <c r="E36" s="136"/>
      <c r="F36" s="136"/>
      <c r="G36" s="136"/>
      <c r="H36" s="136"/>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7" t="s">
        <v>228</v>
      </c>
      <c r="C50" s="137"/>
      <c r="D50" s="137"/>
      <c r="E50" s="137"/>
      <c r="F50" s="137"/>
      <c r="G50" s="137"/>
      <c r="H50" s="13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6" t="s">
        <v>64</v>
      </c>
      <c r="C66" s="136"/>
      <c r="D66" s="136"/>
      <c r="E66" s="136"/>
      <c r="F66" s="136"/>
      <c r="G66" s="136"/>
      <c r="H66" s="136"/>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6" t="s">
        <v>243</v>
      </c>
      <c r="C90" s="136"/>
      <c r="D90" s="136"/>
      <c r="E90" s="136"/>
      <c r="F90" s="136"/>
      <c r="G90" s="136"/>
      <c r="H90" s="136"/>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7" t="s">
        <v>286</v>
      </c>
      <c r="C103" s="137"/>
      <c r="D103" s="137"/>
      <c r="E103" s="137"/>
      <c r="F103" s="137"/>
      <c r="G103" s="137"/>
      <c r="H103" s="13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7" t="s">
        <v>289</v>
      </c>
      <c r="C107" s="137"/>
      <c r="D107" s="137"/>
      <c r="E107" s="137"/>
      <c r="F107" s="137"/>
      <c r="G107" s="137"/>
      <c r="H107" s="13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6" t="s">
        <v>245</v>
      </c>
      <c r="C185" s="136"/>
      <c r="D185" s="136"/>
      <c r="E185" s="136"/>
      <c r="F185" s="136"/>
      <c r="G185" s="136"/>
      <c r="H185" s="136"/>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4" zoomScaleNormal="100" workbookViewId="0">
      <selection activeCell="B49" sqref="B49"/>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May 31,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45077</v>
      </c>
      <c r="K7" s="11"/>
    </row>
    <row r="8" spans="1:11" s="1" customFormat="1" x14ac:dyDescent="0.25">
      <c r="A8" s="4"/>
      <c r="B8" s="22" t="s">
        <v>33</v>
      </c>
      <c r="C8" s="80"/>
      <c r="D8" s="28" t="s">
        <v>35</v>
      </c>
      <c r="E8" s="87"/>
      <c r="F8" s="22" t="s">
        <v>33</v>
      </c>
      <c r="G8" s="87"/>
      <c r="H8" s="24">
        <f>+'Revenues, Expenditures, Changes'!H9</f>
        <v>45077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4000834.38</v>
      </c>
      <c r="E10" s="4"/>
      <c r="F10" s="3">
        <f>+(D10-B10)/B10+1</f>
        <v>0.74999997750469305</v>
      </c>
      <c r="G10" s="4"/>
      <c r="H10" s="32">
        <v>3647994</v>
      </c>
      <c r="I10" s="4"/>
      <c r="J10" s="3">
        <f t="shared" ref="J10" si="0">+(D10-H10)/H10+1</f>
        <v>1.0967217544765697</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1204695</v>
      </c>
      <c r="C12" s="6"/>
      <c r="D12" s="5">
        <v>1204697</v>
      </c>
      <c r="E12" s="4"/>
      <c r="F12" s="3">
        <f>+(D12-B12)/B12+1</f>
        <v>1.0000016601712467</v>
      </c>
      <c r="G12" s="4"/>
      <c r="H12" s="5">
        <v>1117907.99</v>
      </c>
      <c r="I12" s="4"/>
      <c r="J12" s="3">
        <f t="shared" ref="J12:J13" si="1">+(D12-H12)/H12+1</f>
        <v>1.0776351996553848</v>
      </c>
      <c r="K12" s="11"/>
    </row>
    <row r="13" spans="1:11" s="1" customFormat="1" x14ac:dyDescent="0.25">
      <c r="A13" s="10" t="s">
        <v>94</v>
      </c>
      <c r="B13" s="6">
        <v>456548</v>
      </c>
      <c r="C13" s="6"/>
      <c r="D13" s="5">
        <v>456548.11</v>
      </c>
      <c r="E13" s="4"/>
      <c r="F13" s="3">
        <f>+(D13-B13)/B13+1</f>
        <v>1.0000002409385211</v>
      </c>
      <c r="G13" s="4"/>
      <c r="H13" s="5">
        <v>385978.51</v>
      </c>
      <c r="I13" s="4"/>
      <c r="J13" s="3">
        <f t="shared" si="1"/>
        <v>1.1828329768929362</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13863686.75</v>
      </c>
      <c r="E15" s="4"/>
      <c r="F15" s="3">
        <f>+(D15-B15)/B15+1</f>
        <v>1.0088849044732364</v>
      </c>
      <c r="G15" s="4"/>
      <c r="H15" s="5">
        <v>13439437.9</v>
      </c>
      <c r="I15" s="4"/>
      <c r="J15" s="3">
        <f t="shared" ref="J15" si="2">+(D15-H15)/H15+1</f>
        <v>1.0315674549156553</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3793827.09</v>
      </c>
      <c r="E18" s="4"/>
      <c r="F18" s="3">
        <f>+(D18-B18)/B18+1</f>
        <v>0.88721311647927315</v>
      </c>
      <c r="G18" s="4"/>
      <c r="H18" s="5">
        <v>3607812.33</v>
      </c>
      <c r="I18" s="4"/>
      <c r="J18" s="3">
        <f t="shared" ref="J18:J22" si="3">+(D18-H18)/H18+1</f>
        <v>1.0515588791726314</v>
      </c>
      <c r="K18" s="11"/>
    </row>
    <row r="19" spans="1:11" s="1" customFormat="1" x14ac:dyDescent="0.25">
      <c r="A19" s="10" t="s">
        <v>43</v>
      </c>
      <c r="B19" s="6">
        <f>515915+196345+215000+35000+122400+496200+10955</f>
        <v>1591815</v>
      </c>
      <c r="C19" s="6"/>
      <c r="D19" s="5">
        <v>1161723.6100000001</v>
      </c>
      <c r="E19" s="4"/>
      <c r="F19" s="3">
        <f>+(D19-B19)/B19+1</f>
        <v>0.7298106940819129</v>
      </c>
      <c r="G19" s="4"/>
      <c r="H19" s="5">
        <v>961706.65</v>
      </c>
      <c r="I19" s="4"/>
      <c r="J19" s="3">
        <f t="shared" si="3"/>
        <v>1.2079812591500745</v>
      </c>
      <c r="K19" s="11"/>
    </row>
    <row r="20" spans="1:11" s="1" customFormat="1" x14ac:dyDescent="0.25">
      <c r="A20" s="10" t="s">
        <v>75</v>
      </c>
      <c r="B20" s="6">
        <v>-220000</v>
      </c>
      <c r="C20" s="6"/>
      <c r="D20" s="5">
        <v>-127075</v>
      </c>
      <c r="E20" s="4"/>
      <c r="F20" s="3">
        <f>+(D20-B20)/B20+1</f>
        <v>0.57761363636363638</v>
      </c>
      <c r="G20" s="4"/>
      <c r="H20" s="5">
        <v>-101891</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4428374.22</v>
      </c>
      <c r="E22" s="4"/>
      <c r="F22" s="3">
        <f>+(D22-B22)/B22+1</f>
        <v>0.88827714071142816</v>
      </c>
      <c r="G22" s="4"/>
      <c r="H22" s="5">
        <v>4102007.64</v>
      </c>
      <c r="I22" s="4"/>
      <c r="J22" s="3">
        <f t="shared" si="3"/>
        <v>1.0795626455732295</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-143235.5</v>
      </c>
      <c r="E25" s="4"/>
      <c r="F25" s="3">
        <f>+(D25-B25)/B25+1</f>
        <v>0.47745166666666672</v>
      </c>
      <c r="G25" s="4"/>
      <c r="H25" s="5">
        <v>-159445.10999999999</v>
      </c>
      <c r="I25" s="4"/>
      <c r="J25" s="3">
        <f t="shared" ref="J25:J30" si="4">+(D25-H25)/H25+1</f>
        <v>0.8983373651283505</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446565.22</v>
      </c>
      <c r="E27" s="4"/>
      <c r="F27" s="3">
        <f>+(D27-B27)/B27+1</f>
        <v>1.030942741976443</v>
      </c>
      <c r="G27" s="4"/>
      <c r="H27" s="5">
        <v>372347.8</v>
      </c>
      <c r="I27" s="4"/>
      <c r="J27" s="3">
        <f t="shared" si="4"/>
        <v>1.1993228374116887</v>
      </c>
      <c r="K27" s="11"/>
    </row>
    <row r="28" spans="1:11" s="1" customFormat="1" x14ac:dyDescent="0.25">
      <c r="A28" s="4" t="s">
        <v>47</v>
      </c>
      <c r="B28" s="6">
        <v>800000</v>
      </c>
      <c r="C28" s="6"/>
      <c r="D28" s="5">
        <v>563328.39</v>
      </c>
      <c r="E28" s="4"/>
      <c r="F28" s="3">
        <f>+(D28-B28)/B28+1</f>
        <v>0.70416048750000004</v>
      </c>
      <c r="G28" s="4"/>
      <c r="H28" s="5">
        <v>368678.12</v>
      </c>
      <c r="I28" s="4"/>
      <c r="J28" s="3">
        <f t="shared" si="4"/>
        <v>1.5279680551696422</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92445.59</v>
      </c>
      <c r="E30" s="4"/>
      <c r="F30" s="3">
        <f>+(D30-B30)/B30+1</f>
        <v>0.81199464207290295</v>
      </c>
      <c r="G30" s="4"/>
      <c r="H30" s="5">
        <v>98811.77</v>
      </c>
      <c r="I30" s="4"/>
      <c r="J30" s="3">
        <f t="shared" si="4"/>
        <v>0.93557265495800745</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577438</v>
      </c>
      <c r="C35" s="6"/>
      <c r="D35" s="33">
        <v>626551.22</v>
      </c>
      <c r="E35" s="4"/>
      <c r="F35" s="3">
        <f>+(D35-B35)/B35+1</f>
        <v>1.0850536680994323</v>
      </c>
      <c r="G35" s="4"/>
      <c r="H35" s="33">
        <v>110718.51</v>
      </c>
      <c r="I35" s="4"/>
      <c r="J35" s="3">
        <f t="shared" ref="J35:J36" si="8">+(D35-H35)/H35+1</f>
        <v>5.6589563931089755</v>
      </c>
      <c r="K35" s="38"/>
    </row>
    <row r="36" spans="1:11" s="1" customFormat="1" ht="16.5" x14ac:dyDescent="0.35">
      <c r="A36" s="80" t="s">
        <v>55</v>
      </c>
      <c r="B36" s="26">
        <f>SUM(B10:B35)</f>
        <v>32995017</v>
      </c>
      <c r="C36" s="6"/>
      <c r="D36" s="8">
        <f>SUM(D10:D35)</f>
        <v>30368271.079999998</v>
      </c>
      <c r="E36" s="4"/>
      <c r="F36" s="3">
        <f>+(D36-B36)/B36+1</f>
        <v>0.92038961762013938</v>
      </c>
      <c r="G36" s="4"/>
      <c r="H36" s="8">
        <f>SUM(H10:H35)</f>
        <v>27952065.109999999</v>
      </c>
      <c r="I36" s="4"/>
      <c r="J36" s="3">
        <f t="shared" si="8"/>
        <v>1.0864410540148459</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12058124</v>
      </c>
      <c r="C39" s="6"/>
      <c r="D39" s="90">
        <v>9308340.8000000007</v>
      </c>
      <c r="E39" s="4"/>
      <c r="F39" s="3">
        <f t="shared" ref="F39:F49" si="9">+(D39-B39)/B39+1</f>
        <v>0.7719559692701784</v>
      </c>
      <c r="G39" s="4"/>
      <c r="H39" s="90">
        <v>8422320.5800000001</v>
      </c>
      <c r="I39" s="4"/>
      <c r="J39" s="3">
        <f t="shared" ref="J39:J50" si="10">+(D39-H39)/H39+1</f>
        <v>1.1051990614206708</v>
      </c>
      <c r="K39" s="11"/>
    </row>
    <row r="40" spans="1:11" s="1" customFormat="1" x14ac:dyDescent="0.25">
      <c r="A40" s="4" t="s">
        <v>58</v>
      </c>
      <c r="B40" s="6">
        <v>405549</v>
      </c>
      <c r="C40" s="6"/>
      <c r="D40" s="90">
        <v>156426.23000000001</v>
      </c>
      <c r="E40" s="4"/>
      <c r="F40" s="3">
        <f t="shared" si="9"/>
        <v>0.38571474716988574</v>
      </c>
      <c r="G40" s="4"/>
      <c r="H40" s="90">
        <v>166030.82999999999</v>
      </c>
      <c r="I40" s="4"/>
      <c r="J40" s="3">
        <f t="shared" si="10"/>
        <v>0.94215170760755718</v>
      </c>
      <c r="K40" s="11"/>
    </row>
    <row r="41" spans="1:11" s="1" customFormat="1" x14ac:dyDescent="0.25">
      <c r="A41" s="4" t="s">
        <v>59</v>
      </c>
      <c r="B41" s="6">
        <v>3421634</v>
      </c>
      <c r="C41" s="6"/>
      <c r="D41" s="90">
        <v>2542386.19</v>
      </c>
      <c r="E41" s="4"/>
      <c r="F41" s="3">
        <f t="shared" si="9"/>
        <v>0.74303277030798731</v>
      </c>
      <c r="G41" s="4"/>
      <c r="H41" s="90">
        <v>2568337.23</v>
      </c>
      <c r="I41" s="4"/>
      <c r="J41" s="3">
        <f t="shared" si="10"/>
        <v>0.98989578171554982</v>
      </c>
      <c r="K41" s="11"/>
    </row>
    <row r="42" spans="1:11" s="1" customFormat="1" x14ac:dyDescent="0.25">
      <c r="A42" s="4" t="s">
        <v>60</v>
      </c>
      <c r="B42" s="6">
        <v>2654308</v>
      </c>
      <c r="C42" s="6"/>
      <c r="D42" s="90">
        <v>1878406.52</v>
      </c>
      <c r="E42" s="4"/>
      <c r="F42" s="3">
        <f t="shared" si="9"/>
        <v>0.70768219814731381</v>
      </c>
      <c r="G42" s="4"/>
      <c r="H42" s="90">
        <v>1959270.88</v>
      </c>
      <c r="I42" s="4"/>
      <c r="J42" s="3">
        <f t="shared" si="10"/>
        <v>0.95872732003243988</v>
      </c>
      <c r="K42" s="11"/>
    </row>
    <row r="43" spans="1:11" s="1" customFormat="1" x14ac:dyDescent="0.25">
      <c r="A43" s="4" t="s">
        <v>61</v>
      </c>
      <c r="B43" s="6">
        <v>6923655</v>
      </c>
      <c r="C43" s="6"/>
      <c r="D43" s="90">
        <v>5672329.2300000004</v>
      </c>
      <c r="E43" s="4"/>
      <c r="F43" s="3">
        <f t="shared" si="9"/>
        <v>0.81926803545237314</v>
      </c>
      <c r="G43" s="4"/>
      <c r="H43" s="90">
        <v>4945848.87</v>
      </c>
      <c r="I43" s="4"/>
      <c r="J43" s="3">
        <f t="shared" si="10"/>
        <v>1.1468868902174927</v>
      </c>
      <c r="K43" s="11"/>
    </row>
    <row r="44" spans="1:11" s="1" customFormat="1" x14ac:dyDescent="0.25">
      <c r="A44" s="4" t="s">
        <v>62</v>
      </c>
      <c r="B44" s="6">
        <v>4872262</v>
      </c>
      <c r="C44" s="6"/>
      <c r="D44" s="90">
        <v>4100094.17</v>
      </c>
      <c r="E44" s="4"/>
      <c r="F44" s="3">
        <f t="shared" si="9"/>
        <v>0.84151758875035865</v>
      </c>
      <c r="G44" s="4"/>
      <c r="H44" s="90">
        <v>3203863.97</v>
      </c>
      <c r="I44" s="4"/>
      <c r="J44" s="3">
        <f t="shared" si="10"/>
        <v>1.2797341611229518</v>
      </c>
      <c r="K44" s="11"/>
    </row>
    <row r="45" spans="1:11" s="1" customFormat="1" x14ac:dyDescent="0.25">
      <c r="A45" s="4" t="s">
        <v>63</v>
      </c>
      <c r="B45" s="6">
        <v>158000</v>
      </c>
      <c r="C45" s="6"/>
      <c r="D45" s="90">
        <v>172615</v>
      </c>
      <c r="E45" s="4"/>
      <c r="F45" s="3">
        <f t="shared" si="9"/>
        <v>1.0925</v>
      </c>
      <c r="G45" s="4"/>
      <c r="H45" s="90">
        <v>116890.31</v>
      </c>
      <c r="I45" s="4"/>
      <c r="J45" s="3">
        <f t="shared" si="10"/>
        <v>1.4767263428422768</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1474213</v>
      </c>
      <c r="C47" s="6"/>
      <c r="D47" s="5">
        <v>999544</v>
      </c>
      <c r="E47" s="4"/>
      <c r="F47" s="3">
        <f t="shared" si="9"/>
        <v>0.67801871235703381</v>
      </c>
      <c r="G47" s="4"/>
      <c r="H47" s="5">
        <v>1499087.09</v>
      </c>
      <c r="I47" s="4"/>
      <c r="J47" s="3">
        <f t="shared" si="10"/>
        <v>0.66676846640044107</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31976796</v>
      </c>
      <c r="C50" s="6"/>
      <c r="D50" s="8">
        <f>SUM(D39:D49)</f>
        <v>24830142.140000001</v>
      </c>
      <c r="E50" s="4"/>
      <c r="F50" s="3">
        <f>+(D50-B50)/B50+1</f>
        <v>0.77650500506679909</v>
      </c>
      <c r="G50" s="4"/>
      <c r="H50" s="8">
        <f>SUM(H39:H49)</f>
        <v>22881649.759999998</v>
      </c>
      <c r="I50" s="4"/>
      <c r="J50" s="3">
        <f t="shared" si="10"/>
        <v>1.0851552401350979</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-730677.4</v>
      </c>
      <c r="E54" s="4"/>
      <c r="F54" s="3">
        <f>+(D54-B54)/B54+1</f>
        <v>1.6531162895927602</v>
      </c>
      <c r="G54" s="4"/>
      <c r="H54" s="33">
        <v>-712911.72</v>
      </c>
      <c r="I54" s="4"/>
      <c r="J54" s="3">
        <f t="shared" ref="J54:J55" si="12">+(D54-H54)/H54+1</f>
        <v>1.0249198876966141</v>
      </c>
      <c r="K54" s="11"/>
    </row>
    <row r="55" spans="1:11" s="1" customFormat="1" ht="16.5" x14ac:dyDescent="0.35">
      <c r="A55" s="80" t="s">
        <v>55</v>
      </c>
      <c r="B55" s="26">
        <f>SUM(B53:B54)</f>
        <v>-442000</v>
      </c>
      <c r="C55" s="6"/>
      <c r="D55" s="8">
        <f>SUM(D53:D54)</f>
        <v>-730677.4</v>
      </c>
      <c r="E55" s="4"/>
      <c r="F55" s="3">
        <f>+(D55-B55)/B55+1</f>
        <v>1.6531162895927602</v>
      </c>
      <c r="G55" s="26">
        <f>SUM(G53:G54)</f>
        <v>0</v>
      </c>
      <c r="H55" s="8">
        <f>SUM(H53:H54)</f>
        <v>-712911.72</v>
      </c>
      <c r="I55" s="4"/>
      <c r="J55" s="3">
        <f t="shared" si="12"/>
        <v>1.0249198876966141</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4807451.5399999972</v>
      </c>
      <c r="E57" s="4"/>
      <c r="F57" s="4"/>
      <c r="G57" s="4"/>
      <c r="H57" s="9">
        <f>+H36-H50+H55</f>
        <v>4357503.6300000018</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L60" sqref="L60"/>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May 31,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45077</v>
      </c>
      <c r="K7" s="11"/>
    </row>
    <row r="8" spans="1:11" s="1" customFormat="1" x14ac:dyDescent="0.25">
      <c r="A8" s="4"/>
      <c r="B8" s="22" t="s">
        <v>33</v>
      </c>
      <c r="C8" s="80"/>
      <c r="D8" s="28" t="s">
        <v>35</v>
      </c>
      <c r="E8" s="87"/>
      <c r="F8" s="22" t="s">
        <v>33</v>
      </c>
      <c r="G8" s="87"/>
      <c r="H8" s="24">
        <f>+'Revenues, Expenditures, Changes'!H9</f>
        <v>45077</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3312156</v>
      </c>
      <c r="C31" s="6"/>
      <c r="D31" s="7">
        <v>6131234.75</v>
      </c>
      <c r="E31" s="4"/>
      <c r="F31" s="3">
        <f t="shared" si="0"/>
        <v>1.8511310306640145</v>
      </c>
      <c r="G31" s="4"/>
      <c r="H31" s="7">
        <v>5286669.7300000004</v>
      </c>
      <c r="I31" s="4"/>
      <c r="J31" s="3">
        <f t="shared" ref="J31:J33" si="1">+D31/H31</f>
        <v>1.1597536943167432</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3032524</v>
      </c>
      <c r="C33" s="6"/>
      <c r="D33" s="97">
        <v>4365891.63</v>
      </c>
      <c r="E33" s="4"/>
      <c r="F33" s="3">
        <f>+(D33-B33)/B33+1</f>
        <v>1.4396890609934165</v>
      </c>
      <c r="G33" s="4"/>
      <c r="H33" s="8">
        <v>2608458</v>
      </c>
      <c r="I33" s="4"/>
      <c r="J33" s="3">
        <f t="shared" si="1"/>
        <v>1.6737442696029607</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6344680</v>
      </c>
      <c r="C36" s="6"/>
      <c r="D36" s="83">
        <f>SUM(D10:D35)</f>
        <v>10497126.379999999</v>
      </c>
      <c r="E36" s="4"/>
      <c r="F36" s="3">
        <f>+(D36-B36)/B36+1</f>
        <v>1.6544768814187631</v>
      </c>
      <c r="G36" s="4"/>
      <c r="H36" s="8">
        <f>SUM(H10:H35)</f>
        <v>7895127.7300000004</v>
      </c>
      <c r="I36" s="4"/>
      <c r="J36" s="3">
        <f t="shared" ref="J36" si="3">+D36/H36</f>
        <v>1.3295701778342222</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771482</v>
      </c>
      <c r="C39" s="6"/>
      <c r="D39" s="81">
        <v>1376196.77</v>
      </c>
      <c r="E39" s="4"/>
      <c r="F39" s="3">
        <f t="shared" ref="F39:F47" si="4">+(D39-B39)/B39+1</f>
        <v>1.7838352288193373</v>
      </c>
      <c r="G39" s="4"/>
      <c r="H39" s="81">
        <v>1383603.3</v>
      </c>
      <c r="I39" s="4"/>
      <c r="J39" s="3">
        <f t="shared" ref="J39:J49" si="5">+D39/H39</f>
        <v>0.99464692661545395</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8625</v>
      </c>
      <c r="C41" s="6"/>
      <c r="D41" s="81">
        <v>24197.53</v>
      </c>
      <c r="E41" s="4"/>
      <c r="F41" s="3">
        <f t="shared" si="4"/>
        <v>2.8055107246376809</v>
      </c>
      <c r="G41" s="4"/>
      <c r="H41" s="81">
        <v>177782.5</v>
      </c>
      <c r="I41" s="4"/>
      <c r="J41" s="3">
        <f t="shared" si="5"/>
        <v>0.13610749089477311</v>
      </c>
      <c r="K41" s="11"/>
    </row>
    <row r="42" spans="1:11" s="1" customFormat="1" x14ac:dyDescent="0.25">
      <c r="A42" s="4" t="s">
        <v>60</v>
      </c>
      <c r="B42" s="6">
        <v>428278</v>
      </c>
      <c r="C42" s="6"/>
      <c r="D42" s="81">
        <v>737469.76</v>
      </c>
      <c r="E42" s="4"/>
      <c r="F42" s="3">
        <f t="shared" si="4"/>
        <v>1.7219417294374215</v>
      </c>
      <c r="G42" s="4"/>
      <c r="H42" s="81">
        <v>741685.03</v>
      </c>
      <c r="I42" s="4"/>
      <c r="J42" s="3">
        <f t="shared" si="5"/>
        <v>0.99431663060531228</v>
      </c>
      <c r="K42" s="11"/>
    </row>
    <row r="43" spans="1:11" s="1" customFormat="1" x14ac:dyDescent="0.25">
      <c r="A43" s="4" t="s">
        <v>61</v>
      </c>
      <c r="B43" s="6">
        <v>1824139</v>
      </c>
      <c r="C43" s="6"/>
      <c r="D43" s="81">
        <v>2228027.5699999998</v>
      </c>
      <c r="E43" s="4"/>
      <c r="F43" s="3">
        <f t="shared" si="4"/>
        <v>1.2214132640111306</v>
      </c>
      <c r="G43" s="4"/>
      <c r="H43" s="81">
        <v>343338.72</v>
      </c>
      <c r="I43" s="4"/>
      <c r="J43" s="3">
        <f t="shared" si="5"/>
        <v>6.4892988766312172</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3312156</v>
      </c>
      <c r="C45" s="6"/>
      <c r="D45" s="82">
        <v>6131234.75</v>
      </c>
      <c r="E45" s="4"/>
      <c r="F45" s="3">
        <f t="shared" si="4"/>
        <v>1.8511310306640145</v>
      </c>
      <c r="G45" s="4"/>
      <c r="H45" s="82">
        <v>5248718.18</v>
      </c>
      <c r="I45" s="4"/>
      <c r="J45" s="3">
        <f t="shared" si="5"/>
        <v>1.1681394465724582</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6344680</v>
      </c>
      <c r="C49" s="6"/>
      <c r="D49" s="83">
        <f>SUM(D39:D48)</f>
        <v>10497126.379999999</v>
      </c>
      <c r="E49" s="4"/>
      <c r="F49" s="3">
        <f>+(D49-B49)/B49+1</f>
        <v>1.6544768814187631</v>
      </c>
      <c r="G49" s="4"/>
      <c r="H49" s="83">
        <f>SUM(H39:H48)</f>
        <v>7895127.7299999995</v>
      </c>
      <c r="I49" s="4"/>
      <c r="J49" s="3">
        <f t="shared" si="5"/>
        <v>1.3295701778342224</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D54" sqref="D5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May 31,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45077</v>
      </c>
      <c r="K7" s="11"/>
      <c r="L7" s="11"/>
    </row>
    <row r="8" spans="1:12" s="1" customFormat="1" x14ac:dyDescent="0.25">
      <c r="A8" s="4"/>
      <c r="B8" s="22" t="s">
        <v>33</v>
      </c>
      <c r="C8" s="80"/>
      <c r="D8" s="28" t="s">
        <v>35</v>
      </c>
      <c r="E8" s="87"/>
      <c r="F8" s="22" t="s">
        <v>33</v>
      </c>
      <c r="G8" s="87"/>
      <c r="H8" s="24">
        <f>+'Revenues, Expenditures, Changes'!H9</f>
        <v>45077</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3</v>
      </c>
      <c r="C28" s="6"/>
      <c r="D28" s="7">
        <v>5.48</v>
      </c>
      <c r="E28" s="4"/>
      <c r="F28" s="3">
        <f t="shared" si="0"/>
        <v>1.8266666666666667</v>
      </c>
      <c r="G28" s="4"/>
      <c r="H28" s="7">
        <v>3.12</v>
      </c>
      <c r="I28" s="4"/>
      <c r="J28" s="3">
        <f t="shared" ref="J28:J33" si="1">+D28/H28</f>
        <v>1.7564102564102564</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219317</v>
      </c>
      <c r="C34" s="81"/>
      <c r="D34" s="98">
        <v>559625.72</v>
      </c>
      <c r="E34" s="4"/>
      <c r="F34" s="3">
        <f t="shared" ref="F34:F36" si="2">+(D34-B34)/B34+1</f>
        <v>2.5516750639485313</v>
      </c>
      <c r="G34" s="4"/>
      <c r="H34" s="98">
        <v>265501.15999999997</v>
      </c>
      <c r="I34" s="4"/>
      <c r="J34" s="3">
        <f>+D34/H34</f>
        <v>2.1078089451661906</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219320</v>
      </c>
      <c r="C36" s="6"/>
      <c r="D36" s="8">
        <f>SUM(D10:D35)</f>
        <v>559631.19999999995</v>
      </c>
      <c r="E36" s="4"/>
      <c r="F36" s="3">
        <f t="shared" si="2"/>
        <v>2.5516651468174354</v>
      </c>
      <c r="G36" s="4"/>
      <c r="H36" s="8">
        <f>SUM(H10:H35)</f>
        <v>265504.27999999997</v>
      </c>
      <c r="I36" s="4"/>
      <c r="J36" s="3">
        <f>+D36/H36</f>
        <v>2.1078048158018396</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81803</v>
      </c>
      <c r="C39" s="6"/>
      <c r="D39" s="5">
        <v>104254.03</v>
      </c>
      <c r="E39" s="4"/>
      <c r="F39" s="3">
        <f>+(D39-B39)/B39+1</f>
        <v>1.2744524039460656</v>
      </c>
      <c r="G39" s="4"/>
      <c r="H39" s="5">
        <v>52172.36</v>
      </c>
      <c r="I39" s="4"/>
      <c r="J39" s="3">
        <f>+D39/H39</f>
        <v>1.9982617232572957</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23741</v>
      </c>
      <c r="C43" s="6"/>
      <c r="D43" s="5">
        <v>24184.17</v>
      </c>
      <c r="E43" s="4"/>
      <c r="F43" s="3">
        <f t="shared" si="4"/>
        <v>1.0186668632323828</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247868</v>
      </c>
      <c r="C45" s="6"/>
      <c r="D45" s="8">
        <v>719875.88</v>
      </c>
      <c r="E45" s="4"/>
      <c r="F45" s="3">
        <f t="shared" si="6"/>
        <v>2.9042711443187503</v>
      </c>
      <c r="G45" s="4"/>
      <c r="H45" s="8">
        <v>484246.76</v>
      </c>
      <c r="I45" s="4"/>
      <c r="J45" s="3">
        <f>+D45/H45</f>
        <v>1.4865889448594349</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353412</v>
      </c>
      <c r="C49" s="6"/>
      <c r="D49" s="8">
        <f>SUM(D39:D48)</f>
        <v>848314.08</v>
      </c>
      <c r="E49" s="4"/>
      <c r="F49" s="3">
        <f>+(D49-B49)/B49+1</f>
        <v>2.4003544871141895</v>
      </c>
      <c r="G49" s="4"/>
      <c r="H49" s="8">
        <f>SUM(H39:H48)</f>
        <v>536419.12</v>
      </c>
      <c r="I49" s="4"/>
      <c r="J49" s="3">
        <f>+D49/H49</f>
        <v>1.5814389315578459</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134092</v>
      </c>
      <c r="C52" s="6"/>
      <c r="D52" s="8">
        <v>288682.88</v>
      </c>
      <c r="E52" s="4"/>
      <c r="F52" s="3">
        <f>+(D52-B52)/B52+1</f>
        <v>2.152871759687379</v>
      </c>
      <c r="G52" s="4"/>
      <c r="H52" s="8">
        <v>270914.84000000003</v>
      </c>
      <c r="I52" s="4"/>
      <c r="J52" s="3">
        <f>+D52/H52</f>
        <v>1.0655853330146108</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134092</v>
      </c>
      <c r="C54" s="6"/>
      <c r="D54" s="8">
        <f>SUM(D52:D53)</f>
        <v>288682.88</v>
      </c>
      <c r="E54" s="4"/>
      <c r="F54" s="3"/>
      <c r="G54" s="26">
        <f>SUM(G52:G53)</f>
        <v>0</v>
      </c>
      <c r="H54" s="8">
        <f>SUM(H52:H53)</f>
        <v>270914.84000000003</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D49" sqref="D49"/>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May 31,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45077</v>
      </c>
      <c r="K7" s="11"/>
      <c r="L7" s="11"/>
    </row>
    <row r="8" spans="1:12" s="1" customFormat="1" x14ac:dyDescent="0.25">
      <c r="A8" s="4"/>
      <c r="B8" s="22" t="s">
        <v>33</v>
      </c>
      <c r="C8" s="56"/>
      <c r="D8" s="28" t="s">
        <v>35</v>
      </c>
      <c r="E8" s="87"/>
      <c r="F8" s="22" t="s">
        <v>33</v>
      </c>
      <c r="G8" s="87"/>
      <c r="H8" s="24">
        <f>+'Revenues, Expenditures, Changes'!H9</f>
        <v>45077</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45886</v>
      </c>
      <c r="C35" s="6"/>
      <c r="D35" s="85">
        <v>100985.57</v>
      </c>
      <c r="E35" s="4"/>
      <c r="F35" s="3">
        <f>+(D35-B35)/B35+1+0.0008</f>
        <v>2.2015926164843309</v>
      </c>
      <c r="G35" s="4"/>
      <c r="H35" s="85">
        <v>60347.25</v>
      </c>
      <c r="I35" s="4"/>
      <c r="J35" s="3">
        <f t="shared" ref="J35:J36" si="1">+D35/H35</f>
        <v>1.6734079846223318</v>
      </c>
      <c r="K35" s="11"/>
      <c r="L35" s="11"/>
    </row>
    <row r="36" spans="1:12" s="1" customFormat="1" ht="16.5" x14ac:dyDescent="0.35">
      <c r="A36" s="56" t="s">
        <v>55</v>
      </c>
      <c r="B36" s="26">
        <f>SUM(B10:B35)</f>
        <v>45886</v>
      </c>
      <c r="C36" s="6"/>
      <c r="D36" s="8">
        <f>SUM(D10:D35)</f>
        <v>100985.57</v>
      </c>
      <c r="E36" s="4"/>
      <c r="F36" s="3">
        <f>+(D36-B36)/B36+1+0.0008</f>
        <v>2.2015926164843309</v>
      </c>
      <c r="G36" s="4"/>
      <c r="H36" s="8">
        <f>SUM(H10:H35)</f>
        <v>60347.25</v>
      </c>
      <c r="I36" s="4"/>
      <c r="J36" s="3">
        <f t="shared" si="1"/>
        <v>1.6734079846223318</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44470</v>
      </c>
      <c r="C39" s="6"/>
      <c r="D39" s="5">
        <v>96789.75</v>
      </c>
      <c r="E39" s="4"/>
      <c r="F39" s="3">
        <f>+(D39-B39)/B39+1</f>
        <v>2.176517877220598</v>
      </c>
      <c r="G39" s="4"/>
      <c r="H39" s="5">
        <v>55652.08</v>
      </c>
      <c r="I39" s="4"/>
      <c r="J39" s="3">
        <f t="shared" ref="J39:J49" si="2">+D39/H39</f>
        <v>1.7391937552019618</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1416</v>
      </c>
      <c r="C41" s="6"/>
      <c r="D41" s="8">
        <v>4195.82</v>
      </c>
      <c r="E41" s="4"/>
      <c r="F41" s="3">
        <f t="shared" ref="F41" si="3">+(D41-B41)/B41+1</f>
        <v>2.9631497175141241</v>
      </c>
      <c r="G41" s="4"/>
      <c r="H41" s="8">
        <v>4695.17</v>
      </c>
      <c r="I41" s="4"/>
      <c r="J41" s="3">
        <f t="shared" si="2"/>
        <v>0.89364602346666888</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45886</v>
      </c>
      <c r="C49" s="6"/>
      <c r="D49" s="8">
        <f>SUM(D39:D48)</f>
        <v>100985.57</v>
      </c>
      <c r="E49" s="4"/>
      <c r="F49" s="3">
        <f>+(D49-B49)/B49+1+0.0008</f>
        <v>2.2015926164843309</v>
      </c>
      <c r="G49" s="4"/>
      <c r="H49" s="8">
        <f>SUM(H39:H48)</f>
        <v>60347.25</v>
      </c>
      <c r="I49" s="4"/>
      <c r="J49" s="3">
        <f t="shared" si="2"/>
        <v>1.6734079846223318</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v>0</v>
      </c>
      <c r="E56" s="4"/>
      <c r="F56" s="4"/>
      <c r="G56" s="4"/>
      <c r="H56" s="9">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tabSelected="1" zoomScaleNormal="100" workbookViewId="0">
      <selection activeCell="M20" sqref="M20"/>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May 31,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45077</v>
      </c>
      <c r="K7" s="11"/>
    </row>
    <row r="8" spans="1:11" s="1" customFormat="1" x14ac:dyDescent="0.25">
      <c r="A8" s="4"/>
      <c r="B8" s="22" t="s">
        <v>33</v>
      </c>
      <c r="C8" s="56"/>
      <c r="D8" s="23" t="s">
        <v>35</v>
      </c>
      <c r="E8" s="87"/>
      <c r="F8" s="22" t="s">
        <v>33</v>
      </c>
      <c r="G8" s="87"/>
      <c r="H8" s="24">
        <f>+'Revenues, Expenditures, Changes'!H9</f>
        <v>45077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1415903.93</v>
      </c>
      <c r="E10" s="4"/>
      <c r="F10" s="3">
        <f>+D10/B10</f>
        <v>0.57841575636259646</v>
      </c>
      <c r="G10" s="4"/>
      <c r="H10" s="5">
        <v>1488005.87</v>
      </c>
      <c r="I10" s="4"/>
      <c r="J10" s="3">
        <f>+D10/H10</f>
        <v>0.9515445863126869</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542.03</v>
      </c>
      <c r="E12" s="4"/>
      <c r="F12" s="3">
        <v>0</v>
      </c>
      <c r="G12" s="4"/>
      <c r="H12" s="8">
        <v>278.88</v>
      </c>
      <c r="I12" s="4"/>
      <c r="J12" s="3">
        <f>+D12/H12</f>
        <v>1.9435958118187033</v>
      </c>
      <c r="K12" s="11"/>
    </row>
    <row r="13" spans="1:11" s="1" customFormat="1" ht="16.5" x14ac:dyDescent="0.35">
      <c r="A13" s="56" t="s">
        <v>55</v>
      </c>
      <c r="B13" s="26">
        <f>SUM(B10:B12)</f>
        <v>2447900</v>
      </c>
      <c r="C13" s="6"/>
      <c r="D13" s="8">
        <f>SUM(D10:D12)</f>
        <v>1416445.96</v>
      </c>
      <c r="E13" s="4"/>
      <c r="F13" s="3">
        <f>+D13/B13</f>
        <v>0.57863718289145794</v>
      </c>
      <c r="G13" s="4"/>
      <c r="H13" s="8">
        <f>SUM(H10:H12)</f>
        <v>1488284.75</v>
      </c>
      <c r="I13" s="4"/>
      <c r="J13" s="3">
        <f>+D13/H13</f>
        <v>0.95173048033986773</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415953.06</v>
      </c>
      <c r="E16" s="4"/>
      <c r="F16" s="3">
        <f t="shared" ref="F16:F30" si="1">+D16/B16</f>
        <v>0.7328871966367958</v>
      </c>
      <c r="G16" s="4"/>
      <c r="H16" s="95">
        <v>407021.9</v>
      </c>
      <c r="I16" s="4"/>
      <c r="J16" s="3">
        <f t="shared" ref="J16:J30" si="2">+D16/H16</f>
        <v>1.0219427013632436</v>
      </c>
      <c r="K16" s="11"/>
    </row>
    <row r="17" spans="1:11" s="1" customFormat="1" x14ac:dyDescent="0.25">
      <c r="A17" s="4" t="s">
        <v>80</v>
      </c>
      <c r="B17" s="52">
        <v>201629</v>
      </c>
      <c r="C17" s="6"/>
      <c r="D17" s="5">
        <v>137855.82999999999</v>
      </c>
      <c r="E17" s="4"/>
      <c r="F17" s="3">
        <f t="shared" si="1"/>
        <v>0.68371032936730325</v>
      </c>
      <c r="G17" s="4"/>
      <c r="H17" s="95">
        <v>134225.39000000001</v>
      </c>
      <c r="I17" s="4"/>
      <c r="J17" s="3">
        <f t="shared" si="2"/>
        <v>1.0270473417883157</v>
      </c>
      <c r="K17" s="11"/>
    </row>
    <row r="18" spans="1:11" s="1" customFormat="1" x14ac:dyDescent="0.25">
      <c r="A18" s="4" t="s">
        <v>81</v>
      </c>
      <c r="B18" s="52">
        <v>192919</v>
      </c>
      <c r="C18" s="6"/>
      <c r="D18" s="5">
        <v>147337.48000000001</v>
      </c>
      <c r="E18" s="4"/>
      <c r="F18" s="3">
        <f t="shared" si="1"/>
        <v>0.7637271601034632</v>
      </c>
      <c r="G18" s="4"/>
      <c r="H18" s="95">
        <v>145330.68</v>
      </c>
      <c r="I18" s="4"/>
      <c r="J18" s="3">
        <f t="shared" si="2"/>
        <v>1.0138085089810356</v>
      </c>
      <c r="K18" s="11"/>
    </row>
    <row r="19" spans="1:11" s="1" customFormat="1" x14ac:dyDescent="0.25">
      <c r="A19" s="4" t="s">
        <v>82</v>
      </c>
      <c r="B19" s="52">
        <v>139323</v>
      </c>
      <c r="C19" s="6"/>
      <c r="D19" s="5">
        <v>190889.38</v>
      </c>
      <c r="E19" s="4"/>
      <c r="F19" s="3">
        <f t="shared" si="1"/>
        <v>1.3701210855350516</v>
      </c>
      <c r="G19" s="4"/>
      <c r="H19" s="95">
        <v>173693.01</v>
      </c>
      <c r="I19" s="4"/>
      <c r="J19" s="3">
        <f t="shared" si="2"/>
        <v>1.0990043871080362</v>
      </c>
      <c r="K19" s="11"/>
    </row>
    <row r="20" spans="1:11" s="1" customFormat="1" x14ac:dyDescent="0.25">
      <c r="A20" s="4" t="s">
        <v>83</v>
      </c>
      <c r="B20" s="52">
        <v>26850</v>
      </c>
      <c r="C20" s="6"/>
      <c r="D20" s="5">
        <v>17653.98</v>
      </c>
      <c r="E20" s="4"/>
      <c r="F20" s="3">
        <f t="shared" si="1"/>
        <v>0.65750391061452518</v>
      </c>
      <c r="G20" s="4"/>
      <c r="H20" s="95">
        <v>21748.45</v>
      </c>
      <c r="I20" s="4"/>
      <c r="J20" s="3">
        <f t="shared" si="2"/>
        <v>0.81173508916727399</v>
      </c>
      <c r="K20" s="11"/>
    </row>
    <row r="21" spans="1:11" s="1" customFormat="1" x14ac:dyDescent="0.25">
      <c r="A21" s="4" t="s">
        <v>88</v>
      </c>
      <c r="B21" s="52">
        <v>11815</v>
      </c>
      <c r="C21" s="6"/>
      <c r="D21" s="5">
        <v>4142.8</v>
      </c>
      <c r="E21" s="4"/>
      <c r="F21" s="3">
        <f t="shared" si="1"/>
        <v>0.35063901819720694</v>
      </c>
      <c r="G21" s="4"/>
      <c r="H21" s="95">
        <v>131.19999999999999</v>
      </c>
      <c r="I21" s="4"/>
      <c r="J21" s="3">
        <v>0</v>
      </c>
      <c r="K21" s="11"/>
    </row>
    <row r="22" spans="1:11" s="1" customFormat="1" x14ac:dyDescent="0.25">
      <c r="A22" s="4" t="s">
        <v>84</v>
      </c>
      <c r="B22" s="52">
        <v>14175</v>
      </c>
      <c r="C22" s="6"/>
      <c r="D22" s="5">
        <v>9447.01</v>
      </c>
      <c r="E22" s="4"/>
      <c r="F22" s="3">
        <f t="shared" si="1"/>
        <v>0.6664557319223986</v>
      </c>
      <c r="G22" s="4"/>
      <c r="H22" s="95">
        <v>10572.45</v>
      </c>
      <c r="I22" s="4"/>
      <c r="J22" s="3">
        <f t="shared" si="2"/>
        <v>0.89354974485573346</v>
      </c>
      <c r="K22" s="11"/>
    </row>
    <row r="23" spans="1:11" s="1" customFormat="1" x14ac:dyDescent="0.25">
      <c r="A23" s="4" t="s">
        <v>85</v>
      </c>
      <c r="B23" s="52">
        <v>4000</v>
      </c>
      <c r="C23" s="6"/>
      <c r="D23" s="5">
        <v>2011.95</v>
      </c>
      <c r="E23" s="4"/>
      <c r="F23" s="3">
        <f t="shared" si="1"/>
        <v>0.50298750000000003</v>
      </c>
      <c r="G23" s="4"/>
      <c r="H23" s="95">
        <v>1746.3</v>
      </c>
      <c r="I23" s="4"/>
      <c r="J23" s="3">
        <f t="shared" si="2"/>
        <v>1.1521216285861537</v>
      </c>
      <c r="K23" s="11"/>
    </row>
    <row r="24" spans="1:11" s="1" customFormat="1" x14ac:dyDescent="0.25">
      <c r="A24" s="4" t="s">
        <v>86</v>
      </c>
      <c r="B24" s="52">
        <v>3000</v>
      </c>
      <c r="C24" s="6"/>
      <c r="D24" s="20">
        <v>2956.76</v>
      </c>
      <c r="E24" s="4"/>
      <c r="F24" s="3">
        <f t="shared" si="1"/>
        <v>0.98558666666666672</v>
      </c>
      <c r="G24" s="4"/>
      <c r="H24" s="95">
        <v>5890.93</v>
      </c>
      <c r="I24" s="4"/>
      <c r="J24" s="3">
        <f t="shared" si="2"/>
        <v>0.50191735430568685</v>
      </c>
      <c r="K24" s="11"/>
    </row>
    <row r="25" spans="1:11" s="1" customFormat="1" x14ac:dyDescent="0.25">
      <c r="A25" s="4" t="s">
        <v>87</v>
      </c>
      <c r="B25" s="52">
        <f>199300+100073</f>
        <v>299373</v>
      </c>
      <c r="C25" s="6"/>
      <c r="D25" s="5">
        <v>164468.43</v>
      </c>
      <c r="E25" s="4"/>
      <c r="F25" s="3">
        <f t="shared" si="1"/>
        <v>0.54937629645960051</v>
      </c>
      <c r="G25" s="4"/>
      <c r="H25" s="95">
        <v>176769.33</v>
      </c>
      <c r="I25" s="4"/>
      <c r="J25" s="3">
        <f t="shared" si="2"/>
        <v>0.93041270224874417</v>
      </c>
      <c r="K25" s="11"/>
    </row>
    <row r="26" spans="1:11" s="1" customFormat="1" x14ac:dyDescent="0.25">
      <c r="A26" s="4" t="s">
        <v>63</v>
      </c>
      <c r="B26" s="52">
        <v>42000</v>
      </c>
      <c r="C26" s="6"/>
      <c r="D26" s="5">
        <v>40540</v>
      </c>
      <c r="E26" s="4"/>
      <c r="F26" s="3">
        <f t="shared" si="1"/>
        <v>0.96523809523809523</v>
      </c>
      <c r="G26" s="4"/>
      <c r="H26" s="95">
        <v>37589</v>
      </c>
      <c r="I26" s="4"/>
      <c r="J26" s="3">
        <f t="shared" si="2"/>
        <v>1.07850701002953</v>
      </c>
      <c r="K26" s="11"/>
    </row>
    <row r="27" spans="1:11" s="1" customFormat="1" x14ac:dyDescent="0.25">
      <c r="A27" s="4" t="s">
        <v>64</v>
      </c>
      <c r="B27" s="52">
        <v>1514880</v>
      </c>
      <c r="C27" s="6"/>
      <c r="D27" s="5">
        <v>886849.47</v>
      </c>
      <c r="E27" s="4"/>
      <c r="F27" s="3">
        <f t="shared" si="1"/>
        <v>0.58542555846007605</v>
      </c>
      <c r="G27" s="4"/>
      <c r="H27" s="95">
        <v>877600.23</v>
      </c>
      <c r="I27" s="4"/>
      <c r="J27" s="3">
        <f t="shared" si="2"/>
        <v>1.0105392406289593</v>
      </c>
      <c r="K27" s="11"/>
    </row>
    <row r="28" spans="1:11" s="1" customFormat="1" ht="16.5" x14ac:dyDescent="0.35">
      <c r="A28" s="4" t="s">
        <v>89</v>
      </c>
      <c r="B28" s="53">
        <v>6603</v>
      </c>
      <c r="C28" s="6"/>
      <c r="D28" s="8">
        <v>7275.14</v>
      </c>
      <c r="E28" s="4"/>
      <c r="F28" s="3">
        <f t="shared" si="1"/>
        <v>1.1017931243374224</v>
      </c>
      <c r="G28" s="4"/>
      <c r="H28" s="96">
        <v>1359.57</v>
      </c>
      <c r="I28" s="4"/>
      <c r="J28" s="3">
        <f t="shared" si="2"/>
        <v>5.3510595261737173</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2027381.2899999998</v>
      </c>
      <c r="E30" s="4"/>
      <c r="F30" s="3">
        <f t="shared" si="1"/>
        <v>0.67040349575959424</v>
      </c>
      <c r="G30" s="4"/>
      <c r="H30" s="8">
        <f>SUM(H16:H29)</f>
        <v>1993678.44</v>
      </c>
      <c r="I30" s="4"/>
      <c r="J30" s="3">
        <f t="shared" si="2"/>
        <v>1.0169048575356012</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-610935.32999999984</v>
      </c>
      <c r="E37" s="4"/>
      <c r="F37" s="4"/>
      <c r="G37" s="4"/>
      <c r="H37" s="9">
        <f>+H13-H30+H35</f>
        <v>-505393.68999999994</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2024-06-05T15:17:38Z</cp:lastPrinted>
  <dcterms:created xsi:type="dcterms:W3CDTF">2009-11-06T16:21:47Z</dcterms:created>
  <dcterms:modified xsi:type="dcterms:W3CDTF">2024-07-09T19:52:53Z</dcterms:modified>
</cp:coreProperties>
</file>