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FCD55790-C0B5-4BE9-8B5A-556436EA8D10}" xr6:coauthVersionLast="47" xr6:coauthVersionMax="47" xr10:uidLastSave="{00000000-0000-0000-0000-000000000000}"/>
  <bookViews>
    <workbookView xWindow="-120" yWindow="-120" windowWidth="29040" windowHeight="15840" activeTab="3"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1" l="1"/>
  <c r="H38" i="1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50" i="2" s="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l="1"/>
  <c r="B81" i="1" s="1"/>
  <c r="D60" i="1"/>
  <c r="D62" i="1" s="1"/>
  <c r="D68" i="1" s="1"/>
  <c r="D80" i="1" l="1"/>
  <c r="D81" i="1" s="1"/>
  <c r="D82" i="1" s="1"/>
  <c r="B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<sst xmlns="http://schemas.openxmlformats.org/spreadsheetml/2006/main" count="883" uniqueCount="404">
  <si>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</si>
  <si>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</si>
  <si>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</si>
  <si>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</si>
  <si>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</si>
  <si>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</si>
  <si>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</si>
  <si>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</si>
  <si>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</si>
  <si>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</si>
  <si>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</si>
  <si>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</si>
  <si>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</si>
  <si>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</si>
  <si>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</si>
  <si>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</si>
  <si>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</si>
  <si>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</si>
  <si>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</si>
  <si>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</si>
  <si>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</si>
  <si>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</si>
  <si>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</si>
  <si>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</si>
  <si>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</si>
  <si>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</si>
  <si>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</si>
  <si>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</si>
  <si>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</si>
  <si>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</si>
  <si>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</si>
  <si>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</si>
  <si>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</si>
  <si>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</si>
  <si>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</si>
  <si>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</si>
  <si>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</si>
  <si>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</si>
  <si>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</si>
  <si>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</si>
  <si>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</si>
  <si>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</si>
  <si>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</si>
  <si>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</si>
  <si>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</si>
  <si>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</si>
  <si>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</si>
  <si>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</si>
  <si>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</si>
  <si>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</si>
  <si>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</si>
  <si>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</si>
  <si>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</si>
  <si>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</si>
  <si>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</si>
  <si>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</si>
  <si>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</si>
  <si>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</si>
  <si>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</si>
  <si>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</si>
  <si>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</si>
  <si>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</si>
  <si>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</si>
  <si>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</si>
  <si>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</si>
  <si>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</si>
  <si>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</si>
  <si>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</si>
  <si>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</si>
  <si>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</si>
  <si>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</si>
  <si>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</si>
  <si>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</si>
  <si>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</si>
  <si>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</si>
  <si>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</si>
  <si>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</si>
  <si>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</si>
  <si>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</si>
  <si>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</si>
  <si>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</si>
  <si>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</si>
  <si>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</si>
  <si>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</si>
  <si>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</si>
  <si>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</si>
  <si>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</si>
  <si>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</si>
  <si>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</si>
  <si>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</si>
  <si>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</si>
  <si>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</si>
  <si>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</si>
  <si>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</si>
  <si>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</si>
  <si>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</si>
  <si>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</si>
  <si>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</si>
  <si>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</si>
  <si>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</si>
  <si>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</si>
  <si>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</si>
  <si>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</si>
  <si>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</si>
  <si>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</si>
  <si>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</si>
  <si>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</si>
  <si>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</si>
  <si>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</si>
  <si>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</si>
  <si>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</si>
  <si>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</si>
  <si>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</si>
  <si>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</si>
  <si>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</si>
  <si>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</si>
  <si>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</si>
  <si>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</si>
  <si>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</si>
  <si>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</si>
  <si>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</si>
  <si>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</si>
  <si>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</si>
  <si>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</si>
  <si>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</si>
  <si>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</si>
  <si>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</si>
  <si>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</si>
  <si>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</si>
  <si>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</si>
  <si>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</si>
  <si>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</si>
  <si>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</si>
  <si>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</si>
  <si>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</si>
  <si>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</si>
  <si>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</si>
  <si>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</si>
  <si>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</si>
  <si>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</si>
  <si>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</si>
  <si>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</si>
  <si>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</si>
  <si>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</si>
  <si>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</si>
  <si>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</si>
  <si>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</si>
  <si>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</si>
  <si>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</si>
  <si>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</si>
  <si>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</si>
  <si>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</si>
  <si>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</si>
  <si>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</si>
  <si>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</si>
  <si>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</si>
  <si>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</si>
  <si>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</si>
  <si>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</si>
  <si>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</si>
  <si>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</si>
  <si>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</si>
  <si>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</si>
  <si>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</si>
  <si>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</si>
  <si>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</si>
  <si>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</si>
  <si>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</si>
  <si>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</si>
  <si>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</si>
  <si>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</si>
  <si>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</si>
  <si>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</si>
  <si>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</si>
  <si>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</si>
  <si>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</si>
  <si>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</si>
  <si>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</si>
  <si>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</si>
  <si>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</si>
  <si>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</si>
  <si>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</si>
  <si>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</si>
  <si>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</si>
  <si>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</si>
  <si>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</si>
  <si>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</si>
  <si>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</si>
  <si>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</si>
  <si>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</si>
  <si>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</si>
  <si>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</si>
  <si>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</si>
  <si>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</si>
  <si>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</si>
  <si>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</si>
  <si>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</si>
  <si>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</si>
  <si>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</si>
  <si>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</si>
  <si>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</si>
  <si>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</si>
  <si>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</si>
  <si>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</si>
  <si>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</si>
  <si>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</si>
  <si>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</si>
  <si>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</si>
  <si>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</si>
  <si>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</si>
  <si>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</si>
  <si>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</si>
  <si>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</si>
  <si>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</si>
  <si>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</si>
  <si>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</si>
  <si>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</si>
  <si>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</si>
  <si>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</si>
  <si>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</si>
  <si>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</si>
  <si>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</si>
  <si>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</si>
  <si>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</si>
  <si>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</si>
  <si>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</si>
  <si>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</si>
  <si>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</si>
  <si>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</si>
  <si>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</si>
  <si>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</si>
  <si>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</si>
  <si>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</si>
  <si>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</si>
  <si>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</si>
  <si>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</si>
  <si>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</si>
  <si>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</si>
  <si>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</si>
  <si>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</si>
  <si>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</si>
  <si>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</si>
  <si>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</si>
  <si>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</si>
  <si>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</si>
  <si>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</si>
  <si>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</si>
  <si>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</si>
  <si>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</si>
  <si>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</si>
  <si>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</si>
  <si>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</si>
  <si>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</si>
  <si>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</si>
  <si>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</si>
  <si>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</si>
  <si>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</si>
  <si>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</si>
  <si>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</si>
  <si>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</si>
  <si>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</si>
  <si>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</si>
  <si>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</si>
  <si>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</si>
  <si>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</si>
  <si>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</si>
  <si>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</si>
  <si>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</si>
  <si>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</si>
  <si>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</si>
  <si>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</si>
  <si>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</si>
  <si>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</si>
  <si>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</si>
  <si>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</si>
  <si>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</si>
  <si>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</si>
  <si>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</si>
  <si>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</si>
  <si>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</si>
  <si>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</si>
  <si>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</si>
  <si>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</si>
  <si>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</si>
  <si>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</si>
  <si>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</si>
  <si>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</si>
  <si>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</si>
  <si>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</si>
  <si>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</si>
  <si>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</si>
  <si>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</si>
  <si>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</si>
  <si>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</si>
  <si>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</si>
  <si>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</si>
  <si>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</si>
  <si>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</si>
  <si>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</si>
  <si>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</si>
  <si>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</si>
  <si>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</si>
  <si>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</si>
  <si>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</si>
  <si>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</si>
  <si>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</si>
  <si>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</si>
  <si>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</si>
  <si>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</si>
  <si>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</si>
  <si>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</si>
  <si>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</si>
  <si>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</si>
  <si>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</si>
  <si>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</si>
  <si>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</si>
  <si>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</si>
  <si>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</si>
  <si>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</si>
  <si>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</si>
  <si>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</si>
  <si>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</si>
  <si>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</si>
  <si>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</si>
  <si>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</si>
  <si>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</si>
  <si>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</si>
  <si>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</si>
  <si>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</si>
  <si>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</si>
  <si>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</si>
  <si>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</si>
  <si>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</si>
  <si>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</si>
  <si>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</si>
  <si>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</si>
  <si>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</si>
  <si>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</si>
  <si>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</si>
  <si>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</si>
  <si>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</si>
  <si>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</si>
  <si>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</si>
  <si>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</si>
  <si>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</si>
  <si>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</si>
  <si>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</si>
  <si>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</si>
  <si>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</si>
  <si>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</si>
  <si>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</si>
  <si>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</si>
  <si>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</si>
  <si>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</si>
  <si>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</si>
  <si>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</si>
  <si>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</si>
  <si>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</si>
  <si>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</si>
  <si>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</si>
  <si>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</si>
  <si>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</si>
  <si>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</si>
  <si>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</si>
  <si>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</si>
  <si>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</si>
  <si>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</si>
  <si>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</si>
  <si>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</si>
  <si>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</si>
  <si>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</si>
  <si>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</si>
  <si>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</si>
  <si>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</si>
  <si>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</si>
  <si>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</si>
  <si>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</si>
  <si>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</si>
  <si>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</si>
  <si>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</si>
  <si>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</si>
  <si>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</si>
  <si>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</si>
  <si>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</si>
  <si>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</si>
  <si>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</si>
  <si>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</si>
  <si>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</si>
  <si>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</si>
  <si>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</si>
  <si>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</si>
  <si>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</si>
  <si>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</si>
  <si>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</si>
  <si>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</si>
  <si>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</si>
  <si>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</si>
  <si>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</si>
  <si>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</si>
  <si>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</si>
  <si>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</si>
  <si>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</si>
  <si>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</si>
  <si>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April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</si>
</sst>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29" zoomScaleNormal="100" workbookViewId="0">
      <selection activeCell="H67" sqref="H67"/>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-1216576.1399999999</v>
      </c>
      <c r="C8" s="5"/>
      <c r="D8" s="7">
        <v>2553775.81</v>
      </c>
      <c r="E8" s="16" t="s">
        <v>95</v>
      </c>
      <c r="F8" s="45"/>
    </row>
    <row r="9" spans="1:7" x14ac:dyDescent="0.25">
      <c r="A9" s="10" t="s">
        <v>3</v>
      </c>
      <c r="B9" s="5">
        <v>1310576.77</v>
      </c>
      <c r="C9" s="5"/>
      <c r="D9" s="5">
        <v>2313207.86</v>
      </c>
      <c r="E9" s="16" t="s">
        <v>96</v>
      </c>
      <c r="F9" s="45"/>
    </row>
    <row r="10" spans="1:7" x14ac:dyDescent="0.25">
      <c r="A10" s="10" t="s">
        <v>4</v>
      </c>
      <c r="B10" s="5">
        <v>38776737.740000002</v>
      </c>
      <c r="C10" s="5"/>
      <c r="D10" s="5">
        <v>22629270.649999999</v>
      </c>
      <c r="E10" s="16" t="s">
        <v>97</v>
      </c>
      <c r="F10" s="46"/>
    </row>
    <row r="11" spans="1:7" x14ac:dyDescent="0.25">
      <c r="A11" s="10" t="s">
        <v>5</v>
      </c>
      <c r="B11" s="5">
        <v>2294.5100000000002</v>
      </c>
      <c r="C11" s="5"/>
      <c r="D11" s="5">
        <v>110.19</v>
      </c>
      <c r="E11" s="16" t="s">
        <v>97</v>
      </c>
      <c r="F11" s="46"/>
      <c r="G11" s="14"/>
    </row>
    <row r="12" spans="1:7" x14ac:dyDescent="0.25">
      <c r="A12" s="10" t="s">
        <v>6</v>
      </c>
      <c r="B12" s="5">
        <v>3968796.38</v>
      </c>
      <c r="C12" s="5"/>
      <c r="D12" s="5">
        <v>5599482.04</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43194830.890000008</v>
      </c>
      <c r="C16" s="5"/>
      <c r="D16" s="8">
        <f>SUM(D8:D15)</f>
        <v>33510098.260000002</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109673856.25</v>
      </c>
      <c r="C28" s="5"/>
      <c r="D28" s="8">
        <f>+D16+D22+D26</f>
        <v>97752284.260000005</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592827.57999999996</v>
      </c>
      <c r="C32" s="5"/>
      <c r="D32" s="5">
        <v>609787.79</v>
      </c>
      <c r="E32" s="16" t="s">
        <v>109</v>
      </c>
    </row>
    <row r="33" spans="1:5" x14ac:dyDescent="0.25">
      <c r="A33" s="10" t="s">
        <v>17</v>
      </c>
      <c r="B33" s="5">
        <v>155905.62</v>
      </c>
      <c r="C33" s="5"/>
      <c r="D33" s="5">
        <v>765747.76</v>
      </c>
      <c r="E33" s="16" t="s">
        <v>193</v>
      </c>
    </row>
    <row r="34" spans="1:5" x14ac:dyDescent="0.25">
      <c r="A34" s="10" t="s">
        <v>18</v>
      </c>
      <c r="B34" s="5">
        <v>272028.32</v>
      </c>
      <c r="C34" s="5"/>
      <c r="D34" s="5">
        <v>251876.73</v>
      </c>
      <c r="E34" s="56" t="s">
        <v>260</v>
      </c>
    </row>
    <row r="35" spans="1:5" ht="16.5" x14ac:dyDescent="0.35">
      <c r="A35" s="10" t="s">
        <v>19</v>
      </c>
      <c r="B35" s="8">
        <v>851909.96</v>
      </c>
      <c r="C35" s="5"/>
      <c r="D35" s="8">
        <v>1508573.61</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1872671.48</v>
      </c>
      <c r="C41" s="5"/>
      <c r="D41" s="8">
        <f>SUM(D32:D35)</f>
        <v>3135985.89</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59124060.489999995</v>
      </c>
      <c r="C62" s="5"/>
      <c r="D62" s="8">
        <f>+D41+D60</f>
        <v>54047306.890000001</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72415650.489999995</v>
      </c>
      <c r="C68" s="5"/>
      <c r="D68" s="8">
        <f>+D62+D66</f>
        <v>64251444.890000001</v>
      </c>
    </row>
    <row r="69" spans="1:8" ht="7.5" customHeight="1" x14ac:dyDescent="0.25">
      <c r="B69" s="5"/>
      <c r="C69" s="5"/>
      <c r="D69" s="5"/>
    </row>
    <row r="70" spans="1:8" x14ac:dyDescent="0.25">
      <c r="A70" s="29" t="s">
        <v>282</v>
      </c>
      <c r="B70" s="5"/>
      <c r="C70" s="5"/>
      <c r="D70" s="5"/>
    </row>
    <row r="71" spans="1:8" x14ac:dyDescent="0.25">
      <c r="A71" s="4" t="s">
        <v>29</v>
      </c>
      <c r="B71" s="5">
        <v>29121714.93</v>
      </c>
      <c r="C71" s="5"/>
      <c r="D71" s="5">
        <v>26385581.18</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8136490.8300000066</v>
      </c>
      <c r="C75" s="5"/>
      <c r="D75" s="8">
        <f>'Revenues, Expenditures, Changes'!H59</f>
        <v>7115258.1899999976</v>
      </c>
    </row>
    <row r="76" spans="1:8" ht="7.5" customHeight="1" x14ac:dyDescent="0.35">
      <c r="B76" s="8"/>
      <c r="C76" s="5"/>
      <c r="D76" s="8"/>
    </row>
    <row r="77" spans="1:8" ht="16.5" x14ac:dyDescent="0.35">
      <c r="A77" s="4" t="s">
        <v>283</v>
      </c>
      <c r="B77" s="9">
        <f>SUM(B71:B76)</f>
        <v>37258205.760000005</v>
      </c>
      <c r="C77" s="5"/>
      <c r="D77" s="9">
        <f>SUM(D71:D76)</f>
        <v>33500839.369999997</v>
      </c>
      <c r="F77" s="46"/>
      <c r="G77" s="14"/>
      <c r="H77" s="15"/>
    </row>
    <row r="78" spans="1:8" x14ac:dyDescent="0.25">
      <c r="B78" s="5"/>
      <c r="C78" s="5"/>
      <c r="D78" s="5"/>
      <c r="H78" s="15"/>
    </row>
    <row r="79" spans="1:8" x14ac:dyDescent="0.25">
      <c r="B79" s="5"/>
      <c r="C79" s="5"/>
      <c r="D79" s="5"/>
    </row>
    <row r="80" spans="1:8" x14ac:dyDescent="0.25">
      <c r="A80" s="92" t="s">
        <v>359</v>
      </c>
      <c r="B80" s="5">
        <f>+B28-B68</f>
        <v>37258205.760000005</v>
      </c>
      <c r="C80" s="5"/>
      <c r="D80" s="5">
        <f>+D28-D68</f>
        <v>33500839.370000005</v>
      </c>
    </row>
    <row r="81" spans="1:4" ht="16.5" x14ac:dyDescent="0.35">
      <c r="A81" s="92" t="s">
        <v>360</v>
      </c>
      <c r="B81" s="83">
        <f>+B77-B80</f>
        <v>0</v>
      </c>
      <c r="C81" s="83"/>
      <c r="D81" s="83">
        <f>+D77-D80</f>
        <v>0</v>
      </c>
    </row>
    <row r="82" spans="1:4" ht="16.5" x14ac:dyDescent="0.35">
      <c r="B82" s="62">
        <f>SUM(B80:B81)</f>
        <v>37258205.760000005</v>
      </c>
      <c r="C82" s="62"/>
      <c r="D82" s="62">
        <f>SUM(D80:D81)</f>
        <v>33500839.370000005</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H67" sqref="H67"/>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April 30,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45046</v>
      </c>
      <c r="K7" s="11"/>
      <c r="L7" s="11"/>
    </row>
    <row r="8" spans="1:12" s="1" customFormat="1" x14ac:dyDescent="0.25">
      <c r="A8" s="4"/>
      <c r="B8" s="22" t="s">
        <v>33</v>
      </c>
      <c r="C8" s="56"/>
      <c r="D8" s="28" t="s">
        <v>35</v>
      </c>
      <c r="E8" s="87"/>
      <c r="F8" s="22" t="s">
        <v>33</v>
      </c>
      <c r="G8" s="87"/>
      <c r="H8" s="37">
        <f>+'Revenues, Expenditures, Changes'!H9</f>
        <v>45046</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2855496.12</v>
      </c>
      <c r="E13" s="4"/>
      <c r="F13" s="3">
        <f>+D13/B13</f>
        <v>1.0020128431867947</v>
      </c>
      <c r="G13" s="4"/>
      <c r="H13" s="7">
        <v>2588473.21</v>
      </c>
      <c r="I13" s="4"/>
      <c r="J13" s="3">
        <f>+D13/H13</f>
        <v>1.1031584599633544</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82.58</v>
      </c>
      <c r="E26" s="35"/>
      <c r="F26" s="3">
        <v>0</v>
      </c>
      <c r="G26" s="35"/>
      <c r="H26" s="5">
        <v>2.57</v>
      </c>
      <c r="I26" s="4"/>
      <c r="J26" s="3">
        <f t="shared" si="1"/>
        <v>32.132295719844358</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2856135.5300000003</v>
      </c>
      <c r="E34" s="4"/>
      <c r="F34" s="3">
        <f>+D34/B34</f>
        <v>1.0022372164673516</v>
      </c>
      <c r="G34" s="4"/>
      <c r="H34" s="8">
        <f>SUM(H10:H33)</f>
        <v>2588475.7799999998</v>
      </c>
      <c r="I34" s="4"/>
      <c r="J34" s="3">
        <f t="shared" si="2"/>
        <v>1.1034043864996104</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2406059.6300000004</v>
      </c>
      <c r="E47" s="4"/>
      <c r="F47" s="3"/>
      <c r="G47" s="4"/>
      <c r="H47" s="89">
        <f>+H34-H40+H45</f>
        <v>2303682.0299999998</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13" zoomScaleNormal="100" workbookViewId="0">
      <selection activeCell="H67" sqref="H6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April 30,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133855</v>
      </c>
      <c r="E12" s="103"/>
      <c r="F12" s="103">
        <v>1070840</v>
      </c>
      <c r="G12" s="102"/>
      <c r="H12" s="103">
        <f>+B12+F12</f>
        <v>1070840</v>
      </c>
      <c r="I12" s="102"/>
      <c r="J12" s="102"/>
    </row>
    <row r="13" spans="1:10" s="106" customFormat="1" x14ac:dyDescent="0.25">
      <c r="A13" s="113" t="s">
        <v>94</v>
      </c>
      <c r="B13" s="103">
        <v>0</v>
      </c>
      <c r="C13" s="103"/>
      <c r="D13" s="103">
        <v>48901</v>
      </c>
      <c r="E13" s="103"/>
      <c r="F13" s="103">
        <v>402100</v>
      </c>
      <c r="G13" s="102"/>
      <c r="H13" s="103">
        <f>+B13+F13</f>
        <v>402100</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38869</v>
      </c>
      <c r="E35" s="103"/>
      <c r="F35" s="107">
        <v>389629</v>
      </c>
      <c r="G35" s="102"/>
      <c r="H35" s="107">
        <f>+B35+F35</f>
        <v>489292</v>
      </c>
      <c r="I35" s="102"/>
      <c r="J35" s="102"/>
    </row>
    <row r="36" spans="1:10" s="106" customFormat="1" ht="16.5" x14ac:dyDescent="0.35">
      <c r="A36" s="128" t="s">
        <v>55</v>
      </c>
      <c r="B36" s="110">
        <f>SUM(B10:B35)</f>
        <v>30855999</v>
      </c>
      <c r="C36" s="110"/>
      <c r="D36" s="110">
        <f>SUM(D10:D35)</f>
        <v>221625</v>
      </c>
      <c r="E36" s="110"/>
      <c r="F36" s="110">
        <f>SUM(F10:F35)</f>
        <v>1862569</v>
      </c>
      <c r="G36" s="111"/>
      <c r="H36" s="110">
        <f>SUM(H10:H35)</f>
        <v>32718568</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65202</v>
      </c>
      <c r="E39" s="103"/>
      <c r="F39" s="103">
        <v>2206766</v>
      </c>
      <c r="G39" s="102"/>
      <c r="H39" s="103">
        <f t="shared" ref="H39:H47" si="0">+B39+F39</f>
        <v>11818666</v>
      </c>
      <c r="I39" s="102"/>
      <c r="J39" s="102"/>
    </row>
    <row r="40" spans="1:10" s="106" customFormat="1" x14ac:dyDescent="0.25">
      <c r="A40" s="102" t="s">
        <v>58</v>
      </c>
      <c r="B40" s="103">
        <v>513009</v>
      </c>
      <c r="C40" s="103"/>
      <c r="D40" s="103">
        <v>0</v>
      </c>
      <c r="E40" s="103"/>
      <c r="F40" s="103">
        <v>3722</v>
      </c>
      <c r="G40" s="102"/>
      <c r="H40" s="103">
        <f t="shared" si="0"/>
        <v>516731</v>
      </c>
      <c r="I40" s="102"/>
      <c r="J40" s="102"/>
    </row>
    <row r="41" spans="1:10" s="106" customFormat="1" x14ac:dyDescent="0.25">
      <c r="A41" s="102" t="s">
        <v>59</v>
      </c>
      <c r="B41" s="103">
        <v>2883205</v>
      </c>
      <c r="C41" s="103"/>
      <c r="D41" s="103">
        <v>18437</v>
      </c>
      <c r="E41" s="103"/>
      <c r="F41" s="103">
        <v>508766</v>
      </c>
      <c r="G41" s="102"/>
      <c r="H41" s="103">
        <f t="shared" si="0"/>
        <v>3391971</v>
      </c>
      <c r="I41" s="102"/>
      <c r="J41" s="102"/>
    </row>
    <row r="42" spans="1:10" s="106" customFormat="1" x14ac:dyDescent="0.25">
      <c r="A42" s="102" t="s">
        <v>60</v>
      </c>
      <c r="B42" s="103">
        <v>2162465</v>
      </c>
      <c r="C42" s="103"/>
      <c r="D42" s="103">
        <v>15907</v>
      </c>
      <c r="E42" s="103"/>
      <c r="F42" s="103">
        <v>468590</v>
      </c>
      <c r="G42" s="102"/>
      <c r="H42" s="103">
        <f t="shared" si="0"/>
        <v>2631055</v>
      </c>
      <c r="I42" s="102"/>
      <c r="J42" s="102"/>
    </row>
    <row r="43" spans="1:10" s="106" customFormat="1" x14ac:dyDescent="0.25">
      <c r="A43" s="102" t="s">
        <v>61</v>
      </c>
      <c r="B43" s="103">
        <v>5986423</v>
      </c>
      <c r="C43" s="103"/>
      <c r="D43" s="103">
        <v>34887</v>
      </c>
      <c r="E43" s="103"/>
      <c r="F43" s="103">
        <v>901871</v>
      </c>
      <c r="G43" s="102"/>
      <c r="H43" s="103">
        <f t="shared" si="0"/>
        <v>6888294</v>
      </c>
      <c r="I43" s="102"/>
      <c r="J43" s="102"/>
    </row>
    <row r="44" spans="1:10" s="106" customFormat="1" x14ac:dyDescent="0.25">
      <c r="A44" s="102" t="s">
        <v>62</v>
      </c>
      <c r="B44" s="103">
        <v>4186776</v>
      </c>
      <c r="C44" s="103"/>
      <c r="D44" s="103">
        <v>36400</v>
      </c>
      <c r="E44" s="103"/>
      <c r="F44" s="103">
        <v>685486</v>
      </c>
      <c r="G44" s="102"/>
      <c r="H44" s="103">
        <f t="shared" si="0"/>
        <v>4872262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50792</v>
      </c>
      <c r="E46" s="103"/>
      <c r="F46" s="103">
        <v>-3107356</v>
      </c>
      <c r="G46" s="102"/>
      <c r="H46" s="103">
        <f t="shared" si="0"/>
        <v>1414317</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221625</v>
      </c>
      <c r="E48" s="103"/>
      <c r="F48" s="103">
        <f>SUM(F39:F47)</f>
        <v>1667845</v>
      </c>
      <c r="G48" s="102"/>
      <c r="H48" s="103">
        <f>SUM(H39:H47)</f>
        <v>31700347</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H67" sqref="H6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April 30,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H67" sqref="H67"/>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1" t="s">
        <v>0</v>
      </c>
      <c r="B1" s="131"/>
      <c r="C1" s="131"/>
      <c r="D1" s="131"/>
      <c r="E1" s="131"/>
      <c r="F1" s="131"/>
      <c r="G1" s="131"/>
      <c r="H1" s="131"/>
    </row>
    <row r="2" spans="1:8" x14ac:dyDescent="0.25">
      <c r="A2" s="132" t="s">
        <v>393</v>
      </c>
      <c r="B2" s="132"/>
      <c r="C2" s="132"/>
      <c r="D2" s="132"/>
      <c r="E2" s="132"/>
      <c r="F2" s="132"/>
      <c r="G2" s="132"/>
      <c r="H2" s="132"/>
    </row>
    <row r="3" spans="1:8" x14ac:dyDescent="0.25">
      <c r="A3" s="133" t="str">
        <f>+'Statement of Net Position'!A3:E3</f>
        <v>April 30, 2024</v>
      </c>
      <c r="B3" s="133"/>
      <c r="C3" s="133"/>
      <c r="D3" s="133"/>
      <c r="E3" s="133"/>
      <c r="F3" s="133"/>
      <c r="G3" s="133"/>
      <c r="H3" s="133"/>
    </row>
    <row r="5" spans="1:8" s="41" customFormat="1" ht="18" customHeight="1" x14ac:dyDescent="0.25">
      <c r="A5" s="39" t="s">
        <v>95</v>
      </c>
      <c r="B5" s="135" t="s">
        <v>361</v>
      </c>
      <c r="C5" s="135"/>
      <c r="D5" s="135"/>
      <c r="E5" s="135"/>
      <c r="F5" s="135"/>
      <c r="G5" s="135"/>
      <c r="H5" s="135"/>
    </row>
    <row r="6" spans="1:8" s="41" customFormat="1" ht="18" customHeight="1" x14ac:dyDescent="0.25">
      <c r="A6" s="39" t="s">
        <v>96</v>
      </c>
      <c r="B6" s="135" t="s">
        <v>362</v>
      </c>
      <c r="C6" s="135"/>
      <c r="D6" s="135"/>
      <c r="E6" s="135"/>
      <c r="F6" s="135"/>
      <c r="G6" s="135"/>
      <c r="H6" s="135"/>
    </row>
    <row r="7" spans="1:8" s="41" customFormat="1" ht="18" customHeight="1" x14ac:dyDescent="0.25">
      <c r="A7" s="39" t="s">
        <v>97</v>
      </c>
      <c r="B7" s="58" t="s">
        <v>98</v>
      </c>
      <c r="C7" s="40"/>
      <c r="D7" s="40"/>
      <c r="E7" s="40"/>
      <c r="F7" s="40"/>
      <c r="G7" s="40"/>
      <c r="H7" s="40"/>
    </row>
    <row r="8" spans="1:8" s="41" customFormat="1" ht="18" customHeight="1" x14ac:dyDescent="0.25">
      <c r="A8" s="39" t="s">
        <v>99</v>
      </c>
      <c r="B8" s="135" t="s">
        <v>363</v>
      </c>
      <c r="C8" s="135"/>
      <c r="D8" s="135"/>
      <c r="E8" s="135"/>
      <c r="F8" s="135"/>
      <c r="G8" s="135"/>
      <c r="H8" s="135"/>
    </row>
    <row r="9" spans="1:8" s="41" customFormat="1" ht="36" customHeight="1" x14ac:dyDescent="0.25">
      <c r="A9" s="39"/>
      <c r="B9" s="134" t="s">
        <v>197</v>
      </c>
      <c r="C9" s="134"/>
      <c r="D9" s="134"/>
      <c r="E9" s="134"/>
      <c r="F9" s="134"/>
      <c r="G9" s="134"/>
      <c r="H9" s="134"/>
    </row>
    <row r="10" spans="1:8" s="41" customFormat="1" ht="36" customHeight="1" x14ac:dyDescent="0.25">
      <c r="A10" s="39" t="s">
        <v>100</v>
      </c>
      <c r="B10" s="134" t="s">
        <v>274</v>
      </c>
      <c r="C10" s="134"/>
      <c r="D10" s="134"/>
      <c r="E10" s="134"/>
      <c r="F10" s="134"/>
      <c r="G10" s="134"/>
      <c r="H10" s="134"/>
    </row>
    <row r="11" spans="1:8" s="41" customFormat="1" ht="18" customHeight="1" x14ac:dyDescent="0.25">
      <c r="A11" s="39" t="s">
        <v>101</v>
      </c>
      <c r="B11" s="134" t="s">
        <v>280</v>
      </c>
      <c r="C11" s="134"/>
      <c r="D11" s="134"/>
      <c r="E11" s="134"/>
      <c r="F11" s="134"/>
      <c r="G11" s="134"/>
      <c r="H11" s="134"/>
    </row>
    <row r="12" spans="1:8" s="41" customFormat="1" ht="36" customHeight="1" x14ac:dyDescent="0.25">
      <c r="A12" s="39" t="s">
        <v>102</v>
      </c>
      <c r="B12" s="134" t="s">
        <v>380</v>
      </c>
      <c r="C12" s="134"/>
      <c r="D12" s="134"/>
      <c r="E12" s="134"/>
      <c r="F12" s="134"/>
      <c r="G12" s="134"/>
      <c r="H12" s="134"/>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4" t="s">
        <v>364</v>
      </c>
      <c r="C15" s="134"/>
      <c r="D15" s="134"/>
      <c r="E15" s="134"/>
      <c r="F15" s="134"/>
      <c r="G15" s="134"/>
      <c r="H15" s="134"/>
    </row>
    <row r="16" spans="1:8" s="41" customFormat="1" ht="43.5" customHeight="1" x14ac:dyDescent="0.25">
      <c r="A16" s="42" t="s">
        <v>108</v>
      </c>
      <c r="B16" s="134" t="s">
        <v>351</v>
      </c>
      <c r="C16" s="134"/>
      <c r="D16" s="134"/>
      <c r="E16" s="134"/>
      <c r="F16" s="134"/>
      <c r="G16" s="134"/>
      <c r="H16" s="134"/>
    </row>
    <row r="17" spans="1:8" s="41" customFormat="1" ht="18" customHeight="1" x14ac:dyDescent="0.25">
      <c r="A17" s="39" t="s">
        <v>109</v>
      </c>
      <c r="B17" s="58" t="s">
        <v>253</v>
      </c>
    </row>
    <row r="18" spans="1:8" s="41" customFormat="1" ht="18" customHeight="1" x14ac:dyDescent="0.25">
      <c r="A18" s="39" t="s">
        <v>193</v>
      </c>
      <c r="B18" s="135" t="s">
        <v>352</v>
      </c>
      <c r="C18" s="135"/>
      <c r="D18" s="135"/>
      <c r="E18" s="135"/>
      <c r="F18" s="135"/>
      <c r="G18" s="135"/>
      <c r="H18" s="135"/>
    </row>
    <row r="19" spans="1:8" s="41" customFormat="1" ht="18" customHeight="1" x14ac:dyDescent="0.25">
      <c r="A19" s="42" t="s">
        <v>260</v>
      </c>
      <c r="B19" s="135" t="s">
        <v>110</v>
      </c>
      <c r="C19" s="135"/>
      <c r="D19" s="135"/>
      <c r="E19" s="135"/>
      <c r="F19" s="135"/>
      <c r="G19" s="135"/>
      <c r="H19" s="135"/>
    </row>
    <row r="20" spans="1:8" s="41" customFormat="1" ht="36" customHeight="1" x14ac:dyDescent="0.25">
      <c r="A20" s="42" t="s">
        <v>262</v>
      </c>
      <c r="B20" s="134" t="s">
        <v>247</v>
      </c>
      <c r="C20" s="134"/>
      <c r="D20" s="134"/>
      <c r="E20" s="134"/>
      <c r="F20" s="134"/>
      <c r="G20" s="134"/>
      <c r="H20" s="134"/>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4" t="s">
        <v>299</v>
      </c>
      <c r="C25" s="134"/>
      <c r="D25" s="134"/>
      <c r="E25" s="134"/>
      <c r="F25" s="134"/>
      <c r="G25" s="134"/>
      <c r="H25" s="134"/>
    </row>
    <row r="26" spans="1:8" ht="36" customHeight="1" x14ac:dyDescent="0.25">
      <c r="A26" s="43" t="s">
        <v>298</v>
      </c>
      <c r="B26" s="134" t="s">
        <v>300</v>
      </c>
      <c r="C26" s="134"/>
      <c r="D26" s="134"/>
      <c r="E26" s="134"/>
      <c r="F26" s="134"/>
      <c r="G26" s="134"/>
      <c r="H26" s="134"/>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43" zoomScaleNormal="100" workbookViewId="0">
      <selection activeCell="H67" sqref="H67"/>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April 30,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45046</v>
      </c>
    </row>
    <row r="9" spans="1:11" x14ac:dyDescent="0.25">
      <c r="B9" s="22" t="s">
        <v>33</v>
      </c>
      <c r="C9" s="56"/>
      <c r="D9" s="23" t="s">
        <v>35</v>
      </c>
      <c r="E9" s="56"/>
      <c r="F9" s="22" t="s">
        <v>33</v>
      </c>
      <c r="G9" s="56"/>
      <c r="H9" s="24">
        <v>45046</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4000834.38</v>
      </c>
      <c r="F11" s="3">
        <f t="shared" ref="F11:F23" si="0">+(D11-B11)/B11+1</f>
        <v>0.74999997750469305</v>
      </c>
      <c r="H11" s="32">
        <f>+'Rev, Exp, Cha Unrestricted'!H10+'Rev, Exp, Cha Federal Restrict'!H10+'Rev, Exp, Cha State Restr '!H10+'Rev, Exp, Cha Local Restr '!H10+'Rev, Exp, Cha Debt Service'!H10</f>
        <v>3163296</v>
      </c>
      <c r="J11" s="3">
        <f>+(D11-H11)/H11+1</f>
        <v>1.264767628448302</v>
      </c>
      <c r="K11" s="16" t="s">
        <v>111</v>
      </c>
    </row>
    <row r="12" spans="1:11" x14ac:dyDescent="0.25">
      <c r="A12" s="4" t="s">
        <v>92</v>
      </c>
      <c r="B12" s="25"/>
      <c r="C12" s="6"/>
      <c r="D12" s="32"/>
      <c r="F12" s="3"/>
      <c r="H12" s="32"/>
      <c r="J12" s="3"/>
    </row>
    <row r="13" spans="1:11" x14ac:dyDescent="0.25">
      <c r="A13" s="10" t="s">
        <v>93</v>
      </c>
      <c r="B13" s="5">
        <f>+'Rev, Exp, Cha Unrestricted'!B12</f>
        <v>1070840</v>
      </c>
      <c r="C13" s="6"/>
      <c r="D13" s="5">
        <f>+'Rev, Exp, Cha Unrestricted'!D12</f>
        <v>1070842</v>
      </c>
      <c r="F13" s="3">
        <f t="shared" si="0"/>
        <v>1.0000018676926525</v>
      </c>
      <c r="H13" s="5">
        <f>+'Rev, Exp, Cha Unrestricted'!H12</f>
        <v>993695.99</v>
      </c>
      <c r="J13" s="3">
        <f>+(D13-H13)/H13+1</f>
        <v>1.0776354244923541</v>
      </c>
      <c r="K13" s="16" t="s">
        <v>112</v>
      </c>
    </row>
    <row r="14" spans="1:11" x14ac:dyDescent="0.25">
      <c r="A14" s="10" t="s">
        <v>94</v>
      </c>
      <c r="B14" s="5">
        <f>+'Rev, Exp, Cha Unrestricted'!B13</f>
        <v>402100</v>
      </c>
      <c r="C14" s="6"/>
      <c r="D14" s="5">
        <f>+'Rev, Exp, Cha Unrestricted'!D13</f>
        <v>402100.18</v>
      </c>
      <c r="F14" s="3">
        <f t="shared" si="0"/>
        <v>1.0000004476498383</v>
      </c>
      <c r="H14" s="5">
        <f>+'Rev, Exp, Cha Unrestricted'!H13</f>
        <v>342343.45</v>
      </c>
      <c r="J14" s="3">
        <f>+(D14-H14)/H14+1</f>
        <v>1.1745519886534999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13770425.93</v>
      </c>
      <c r="F16" s="3">
        <f t="shared" si="0"/>
        <v>1.0020981503310313</v>
      </c>
      <c r="H16" s="5">
        <f>+'Rev, Exp, Cha Unrestricted'!H15+'Rev, Exp, Cha Federal Restrict'!H15+'Rev, Exp, Cha State Restr '!H15+'Rev, Exp, Cha Local Restr '!H15+'Rev, Exp, Cha Debt Service'!H12</f>
        <v>13263251.68</v>
      </c>
      <c r="J16" s="3">
        <f>+(D16-H16)/H16+1</f>
        <v>1.0382390579803882</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2855496.12</v>
      </c>
      <c r="F17" s="3">
        <f t="shared" si="0"/>
        <v>1.0020128431867947</v>
      </c>
      <c r="H17" s="5">
        <f>+'Rev, Exp, Cha Unrestricted'!H16+'Rev, Exp, Cha Federal Restrict'!H16+'Rev, Exp, Cha State Restr '!H16+'Rev, Exp, Cha Local Restr '!H16+'Rev, Exp, Cha Debt Service'!H13</f>
        <v>2588473.21</v>
      </c>
      <c r="J17" s="3">
        <f>+(D17-H17)/H17+1</f>
        <v>1.1031584599633544</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3459655.44</v>
      </c>
      <c r="F19" s="3">
        <f t="shared" si="0"/>
        <v>0.80906472858436751</v>
      </c>
      <c r="H19" s="5">
        <f>+'Rev, Exp, Cha Unrestricted'!H18+'Rev, Exp, Cha Federal Restrict'!H18+'Rev, Exp, Cha State Restr '!H18+'Rev, Exp, Cha Local Restr '!H18+'Rev, Exp, Cha Debt Service'!H15</f>
        <v>3428323.8</v>
      </c>
      <c r="J19" s="3">
        <f>+(D19-H19)/H19+1</f>
        <v>1.0091390550682524</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1072125.6100000001</v>
      </c>
      <c r="F20" s="3">
        <f t="shared" si="0"/>
        <v>0.67352400247516209</v>
      </c>
      <c r="H20" s="5">
        <f>+'Rev, Exp, Cha Unrestricted'!H19+'Rev, Exp, Cha Federal Restrict'!H19+'Rev, Exp, Cha State Restr '!H19+'Rev, Exp, Cha Local Restr '!H19+'Rev, Exp, Cha Debt Service'!H16</f>
        <v>815349.65</v>
      </c>
      <c r="J20" s="3">
        <f>+(D20-H20)/H20+1</f>
        <v>1.3149274179488519</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-127075</v>
      </c>
      <c r="F21" s="3">
        <f t="shared" si="0"/>
        <v>0.57761363636363638</v>
      </c>
      <c r="H21" s="5">
        <f>+'Rev, Exp, Cha Unrestricted'!H20+'Rev, Exp, Cha Federal Restrict'!H20+'Rev, Exp, Cha State Restr '!H20+'Rev, Exp, Cha Local Restr '!H20+'Rev, Exp, Cha Debt Service'!H17</f>
        <v>-101891</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4091706.44</v>
      </c>
      <c r="F23" s="3">
        <f t="shared" si="0"/>
        <v>0.82074574473377204</v>
      </c>
      <c r="H23" s="5">
        <f>+'Rev, Exp, Cha Unrestricted'!H22+'Rev, Exp, Cha Federal Restrict'!H22+'Rev, Exp, Cha State Restr '!H22+'Rev, Exp, Cha Local Restr '!H22+'Rev, Exp, Cha Debt Service'!H19</f>
        <v>3861180.59</v>
      </c>
      <c r="J23" s="3">
        <f>+(D23-H23)/H23+1</f>
        <v>1.0597034623547614</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-122692.06</v>
      </c>
      <c r="F26" s="3">
        <f t="shared" ref="F26:F33" si="1">+(D26-B26)/B26+1</f>
        <v>0.40897353333333331</v>
      </c>
      <c r="H26" s="5">
        <f>+'Rev, Exp, Cha Unrestricted'!H25+'Rev, Exp, Cha Federal Restrict'!H25+'Rev, Exp, Cha State Restr '!H25+'Rev, Exp, Cha Local Restr '!H25+'Rev, Exp, Cha Debt Service'!H22</f>
        <v>-145909.35999999999</v>
      </c>
      <c r="J26" s="3">
        <f t="shared" ref="J26:J33" si="2">+(D26-H26)/H26+1</f>
        <v>0.8408786112145239</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390705.22</v>
      </c>
      <c r="F28" s="3">
        <f t="shared" si="1"/>
        <v>0.90198406139042664</v>
      </c>
      <c r="H28" s="5">
        <f>+'Rev, Exp, Cha Unrestricted'!H27+'Rev, Exp, Cha Federal Restrict'!H27+'Rev, Exp, Cha State Restr '!H27+'Rev, Exp, Cha Local Restr '!H27+'Rev, Exp, Cha Debt Service'!H24</f>
        <v>353954.91</v>
      </c>
      <c r="J28" s="3">
        <f t="shared" si="2"/>
        <v>1.1038276598564489</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482001.31</v>
      </c>
      <c r="F30" s="3">
        <f t="shared" si="1"/>
        <v>0.60249937812733201</v>
      </c>
      <c r="H30" s="5">
        <f>+'Rev, Exp, Cha Unrestricted'!H28+'Rev, Exp, Cha Federal Restrict'!H28+'Rev, Exp, Cha State Restr '!H28+'Rev, Exp, Cha Local Restr '!H28+'Rev, Exp, Cha Debt Service'!H26</f>
        <v>297321.90000000002</v>
      </c>
      <c r="J30" s="3">
        <f t="shared" si="2"/>
        <v>1.6211429766862109</v>
      </c>
      <c r="K30" s="16" t="s">
        <v>127</v>
      </c>
    </row>
    <row r="31" spans="1:13" x14ac:dyDescent="0.25">
      <c r="A31" s="4" t="s">
        <v>64</v>
      </c>
      <c r="B31" s="6">
        <f>+'Rev, Exp, Cha Auxiliary'!B13</f>
        <v>2447900</v>
      </c>
      <c r="C31" s="6"/>
      <c r="D31" s="5">
        <f>+'Rev, Exp, Cha Auxiliary'!D13</f>
        <v>1284889.78</v>
      </c>
      <c r="F31" s="3">
        <f t="shared" si="1"/>
        <v>0.52489471792148379</v>
      </c>
      <c r="H31" s="5">
        <f>+'Rev, Exp, Cha Auxiliary'!H13</f>
        <v>1324830.3999999999</v>
      </c>
      <c r="J31" s="3">
        <f t="shared" si="2"/>
        <v>0.96985227694050513</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77477.240000000005</v>
      </c>
      <c r="F32" s="3">
        <f t="shared" si="1"/>
        <v>0.68052033377250776</v>
      </c>
      <c r="H32" s="5">
        <f>+'Rev, Exp, Cha Unrestricted'!H30+'Rev, Exp, Cha Federal Restrict'!H30+'Rev, Exp, Cha State Restr '!H30+'Rev, Exp, Cha Local Restr '!H30+'Rev, Exp, Cha Debt Service'!H28</f>
        <v>73705.320000000007</v>
      </c>
      <c r="J32" s="3">
        <f t="shared" si="2"/>
        <v>1.051175681755401</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6134257.75</v>
      </c>
      <c r="F33" s="3">
        <f t="shared" si="1"/>
        <v>1.8520437292204837</v>
      </c>
      <c r="H33" s="5">
        <f>+'Rev, Exp, Cha Unrestricted'!H31+'Rev, Exp, Cha Federal Restrict'!H31+'Rev, Exp, Cha State Restr '!H31+'Rev, Exp, Cha Local Restr '!H31+'Rev, Exp, Cha Debt Service'!H29</f>
        <v>5286033.7300000004</v>
      </c>
      <c r="J33" s="3">
        <f t="shared" si="2"/>
        <v>1.160465116820206</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4160278.22</v>
      </c>
      <c r="F35" s="3">
        <f t="shared" ref="F35:F38" si="3">+(D35-B35)/B35+1</f>
        <v>1.3718863296712573</v>
      </c>
      <c r="H35" s="5">
        <f>+'Rev, Exp, Cha Unrestricted'!H33+'Rev, Exp, Cha Federal Restrict'!H33+'Rev, Exp, Cha State Restr '!H33+'Rev, Exp, Cha Local Restr '!H33+'Rev, Exp, Cha Debt Service'!H31</f>
        <v>2311336.63</v>
      </c>
      <c r="J35" s="3">
        <f t="shared" ref="J35:J38" si="4">+(D35-H35)/H35+1</f>
        <v>1.7999447445264605</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557489.73</v>
      </c>
      <c r="F36" s="3">
        <f t="shared" si="3"/>
        <v>2.5419357824518847</v>
      </c>
      <c r="H36" s="5">
        <f>+'Rev, Exp, Cha Unrestricted'!H34+'Rev, Exp, Cha Federal Restrict'!H34+'Rev, Exp, Cha State Restr '!H34+'Rev, Exp, Cha Local Restr '!H34+'Rev, Exp, Cha Debt Service'!H32</f>
        <v>262012.75</v>
      </c>
      <c r="J36" s="3">
        <f t="shared" si="4"/>
        <v>2.1277198533277484</v>
      </c>
      <c r="K36" s="16" t="s">
        <v>141</v>
      </c>
    </row>
    <row r="37" spans="1:11" ht="16.5" x14ac:dyDescent="0.35">
      <c r="A37" s="10" t="s">
        <v>54</v>
      </c>
      <c r="B37" s="26">
        <f>+'Rev, Exp, Cha Unrestricted'!B35+'Rev, Exp, Cha Federal Restrict'!B35+'Rev, Exp, Cha State Restr '!B35+'Rev, Exp, Cha Local Restr '!B35+'Rev, Exp, Cha Debt Service'!B33</f>
        <v>535178</v>
      </c>
      <c r="C37" s="6"/>
      <c r="D37" s="8">
        <f>+'Rev, Exp, Cha Unrestricted'!D35+'Rev, Exp, Cha Federal Restrict'!D35+'Rev, Exp, Cha State Restr '!D35+'Rev, Exp, Cha Local Restr '!D35+'Rev, Exp, Cha Debt Service'!D33</f>
        <v>634998.29</v>
      </c>
      <c r="F37" s="3">
        <f t="shared" si="3"/>
        <v>1.1865179248773305</v>
      </c>
      <c r="H37" s="8">
        <f>+'Rev, Exp, Cha Unrestricted'!H35+'Rev, Exp, Cha Federal Restrict'!H35+'Rev, Exp, Cha State Restr '!H35+'Rev, Exp, Cha Local Restr '!H35+'Rev, Exp, Cha Debt Service'!H33</f>
        <v>134930.16999999998</v>
      </c>
      <c r="J37" s="3">
        <f t="shared" si="4"/>
        <v>4.7061253239360781</v>
      </c>
      <c r="K37" s="16" t="s">
        <v>142</v>
      </c>
    </row>
    <row r="38" spans="1:11" ht="16.5" x14ac:dyDescent="0.35">
      <c r="A38" s="56" t="s">
        <v>55</v>
      </c>
      <c r="B38" s="26">
        <f>SUM(B11:B37)</f>
        <v>44626114</v>
      </c>
      <c r="C38" s="6"/>
      <c r="D38" s="8">
        <f>SUM(D11:D37)</f>
        <v>44195516.579999998</v>
      </c>
      <c r="F38" s="3">
        <f t="shared" si="3"/>
        <v>0.99035099896889967</v>
      </c>
      <c r="H38" s="8">
        <f>SUM(H11:H37)</f>
        <v>38252239.82</v>
      </c>
      <c r="J38" s="3">
        <f t="shared" si="4"/>
        <v>1.1553706864739612</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12716421</v>
      </c>
      <c r="C41" s="6"/>
      <c r="D41" s="5">
        <f>+'Rev, Exp, Cha Unrestricted'!D39+'Rev, Exp, Cha Federal Restrict'!D39+'Rev, Exp, Cha State Restr '!D39+'Rev, Exp, Cha Local Restr '!D39</f>
        <v>9692525.959999999</v>
      </c>
      <c r="F41" s="3">
        <f t="shared" ref="F41:F52" si="5">+(D41-B41)/B41+1</f>
        <v>0.7622054947693222</v>
      </c>
      <c r="H41" s="5">
        <f>+'Rev, Exp, Cha Unrestricted'!H39+'Rev, Exp, Cha Federal Restrict'!H39+'Rev, Exp, Cha State Restr '!H39+'Rev, Exp, Cha Local Restr '!H39</f>
        <v>8839361.9600000009</v>
      </c>
      <c r="J41" s="3">
        <f t="shared" ref="J41:J50" si="6">+(D41-H41)/H41+1</f>
        <v>1.0965187310872377</v>
      </c>
      <c r="K41" s="16" t="s">
        <v>143</v>
      </c>
    </row>
    <row r="42" spans="1:11" x14ac:dyDescent="0.25">
      <c r="A42" s="4" t="s">
        <v>58</v>
      </c>
      <c r="B42" s="6">
        <f>+'Rev, Exp, Cha Unrestricted'!B40+'Rev, Exp, Cha Federal Restrict'!B40+'Rev, Exp, Cha State Restr '!B40+'Rev, Exp, Cha Local Restr '!B40</f>
        <v>516731</v>
      </c>
      <c r="C42" s="6"/>
      <c r="D42" s="5">
        <f>+'Rev, Exp, Cha Unrestricted'!D40+'Rev, Exp, Cha Federal Restrict'!D40+'Rev, Exp, Cha State Restr '!D40+'Rev, Exp, Cha Local Restr '!D40</f>
        <v>150841.60000000001</v>
      </c>
      <c r="F42" s="3">
        <f t="shared" si="5"/>
        <v>0.29191513572826089</v>
      </c>
      <c r="H42" s="5">
        <f>+'Rev, Exp, Cha Unrestricted'!H40+'Rev, Exp, Cha Federal Restrict'!H40+'Rev, Exp, Cha State Restr '!H40+'Rev, Exp, Cha Local Restr '!H40</f>
        <v>159685.56</v>
      </c>
      <c r="J42" s="3">
        <f t="shared" si="6"/>
        <v>0.94461640739463237</v>
      </c>
      <c r="K42" s="16" t="s">
        <v>146</v>
      </c>
    </row>
    <row r="43" spans="1:11" x14ac:dyDescent="0.25">
      <c r="A43" s="4" t="s">
        <v>59</v>
      </c>
      <c r="B43" s="6">
        <f>+'Rev, Exp, Cha Unrestricted'!B41+'Rev, Exp, Cha Federal Restrict'!B41+'Rev, Exp, Cha State Restr '!B41+'Rev, Exp, Cha Local Restr '!B41</f>
        <v>3402012</v>
      </c>
      <c r="C43" s="6"/>
      <c r="D43" s="5">
        <f>+'Rev, Exp, Cha Unrestricted'!D41+'Rev, Exp, Cha Federal Restrict'!D41+'Rev, Exp, Cha State Restr '!D41+'Rev, Exp, Cha Local Restr '!D41</f>
        <v>2316874.0099999998</v>
      </c>
      <c r="F43" s="3">
        <f t="shared" si="5"/>
        <v>0.68103052252608154</v>
      </c>
      <c r="H43" s="5">
        <f>+'Rev, Exp, Cha Unrestricted'!H41+'Rev, Exp, Cha Federal Restrict'!H41+'Rev, Exp, Cha State Restr '!H41+'Rev, Exp, Cha Local Restr '!H41</f>
        <v>2513178.34</v>
      </c>
      <c r="J43" s="3">
        <f t="shared" si="6"/>
        <v>0.92189001199174747</v>
      </c>
      <c r="K43" s="16" t="s">
        <v>151</v>
      </c>
    </row>
    <row r="44" spans="1:11" x14ac:dyDescent="0.25">
      <c r="A44" s="4" t="s">
        <v>60</v>
      </c>
      <c r="B44" s="6">
        <f>+'Rev, Exp, Cha Unrestricted'!B42+'Rev, Exp, Cha Federal Restrict'!B42+'Rev, Exp, Cha State Restr '!B42+'Rev, Exp, Cha Local Restr '!B42</f>
        <v>3059333</v>
      </c>
      <c r="C44" s="6"/>
      <c r="D44" s="5">
        <f>+'Rev, Exp, Cha Unrestricted'!D42+'Rev, Exp, Cha Federal Restrict'!D42+'Rev, Exp, Cha State Restr '!D42+'Rev, Exp, Cha Local Restr '!D42</f>
        <v>2347350.94</v>
      </c>
      <c r="F44" s="3">
        <f t="shared" si="5"/>
        <v>0.76727539630370412</v>
      </c>
      <c r="H44" s="5">
        <f>+'Rev, Exp, Cha Unrestricted'!H42+'Rev, Exp, Cha Federal Restrict'!H42+'Rev, Exp, Cha State Restr '!H42+'Rev, Exp, Cha Local Restr '!H42</f>
        <v>2378024.7599999998</v>
      </c>
      <c r="J44" s="3">
        <f t="shared" si="6"/>
        <v>0.98710113514545583</v>
      </c>
      <c r="K44" s="16" t="s">
        <v>155</v>
      </c>
    </row>
    <row r="45" spans="1:11" x14ac:dyDescent="0.25">
      <c r="A45" s="4" t="s">
        <v>61</v>
      </c>
      <c r="B45" s="6">
        <f>+'Rev, Exp, Cha Unrestricted'!B43+'Rev, Exp, Cha Federal Restrict'!B43+'Rev, Exp, Cha State Restr '!B43+'Rev, Exp, Cha Local Restr '!B43</f>
        <v>8736174</v>
      </c>
      <c r="C45" s="6"/>
      <c r="D45" s="5">
        <f>+'Rev, Exp, Cha Unrestricted'!D43+'Rev, Exp, Cha Federal Restrict'!D43+'Rev, Exp, Cha State Restr '!D43+'Rev, Exp, Cha Local Restr '!D43</f>
        <v>7260486.5899999999</v>
      </c>
      <c r="F45" s="3">
        <f t="shared" si="5"/>
        <v>0.83108310228253235</v>
      </c>
      <c r="H45" s="5">
        <f>+'Rev, Exp, Cha Unrestricted'!H43+'Rev, Exp, Cha Federal Restrict'!H43+'Rev, Exp, Cha State Restr '!H43+'Rev, Exp, Cha Local Restr '!H43</f>
        <v>4779743.6900000004</v>
      </c>
      <c r="J45" s="3">
        <f t="shared" si="6"/>
        <v>1.5190117003951731</v>
      </c>
      <c r="K45" s="16" t="s">
        <v>160</v>
      </c>
    </row>
    <row r="46" spans="1:11" x14ac:dyDescent="0.25">
      <c r="A46" s="4" t="s">
        <v>62</v>
      </c>
      <c r="B46" s="6">
        <f>+'Rev, Exp, Cha Unrestricted'!B44+'Rev, Exp, Cha Federal Restrict'!B44+'Rev, Exp, Cha State Restr '!B44+'Rev, Exp, Cha Local Restr '!B44</f>
        <v>4872262</v>
      </c>
      <c r="C46" s="6"/>
      <c r="D46" s="5">
        <f>+'Rev, Exp, Cha Unrestricted'!D44+'Rev, Exp, Cha Federal Restrict'!D44+'Rev, Exp, Cha State Restr '!D44+'Rev, Exp, Cha Local Restr '!D44</f>
        <v>3705189.27</v>
      </c>
      <c r="F46" s="3">
        <f t="shared" si="5"/>
        <v>0.76046593348223057</v>
      </c>
      <c r="H46" s="5">
        <f>+'Rev, Exp, Cha Unrestricted'!H44+'Rev, Exp, Cha Federal Restrict'!H44+'Rev, Exp, Cha State Restr '!H44+'Rev, Exp, Cha Local Restr '!H44</f>
        <v>2889792</v>
      </c>
      <c r="J46" s="3">
        <f t="shared" si="6"/>
        <v>1.2821646921300911</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7005124.7599999998</v>
      </c>
      <c r="F47" s="3">
        <f t="shared" si="5"/>
        <v>1.8840988546604325</v>
      </c>
      <c r="H47" s="5">
        <f>+'Rev, Exp, Cha Unrestricted'!H45+'Rev, Exp, Cha Federal Restrict'!H45+'Rev, Exp, Cha State Restr '!H45+'Rev, Exp, Cha Local Restr '!H45</f>
        <v>5824547.9900000002</v>
      </c>
      <c r="J47" s="3">
        <f t="shared" si="6"/>
        <v>1.2026898519896991</v>
      </c>
      <c r="K47" s="16" t="s">
        <v>183</v>
      </c>
    </row>
    <row r="48" spans="1:11" x14ac:dyDescent="0.25">
      <c r="A48" s="4" t="s">
        <v>64</v>
      </c>
      <c r="B48" s="6">
        <f>+'Rev, Exp, Cha Auxiliary'!B30</f>
        <v>3024121</v>
      </c>
      <c r="C48" s="6"/>
      <c r="D48" s="5">
        <f>+'Rev, Exp, Cha Auxiliary'!D30</f>
        <v>1800914.41</v>
      </c>
      <c r="F48" s="3">
        <f t="shared" si="5"/>
        <v>0.59551665095411188</v>
      </c>
      <c r="H48" s="5">
        <f>+'Rev, Exp, Cha Auxiliary'!H30</f>
        <v>1827714.3800000001</v>
      </c>
      <c r="J48" s="3">
        <f t="shared" si="6"/>
        <v>0.98533689383129974</v>
      </c>
      <c r="K48" s="16" t="s">
        <v>189</v>
      </c>
    </row>
    <row r="49" spans="1:11" x14ac:dyDescent="0.25">
      <c r="A49" s="4" t="s">
        <v>76</v>
      </c>
      <c r="B49" s="6">
        <f>+'Rev, Exp, Cha Unrestricted'!B47+'Rev, Exp, Cha Federal Restrict'!B47+'Rev, Exp, Cha State Restr '!B47+'Rev, Exp, Cha Local Restr '!B47</f>
        <v>1414317</v>
      </c>
      <c r="C49" s="6"/>
      <c r="D49" s="5">
        <f>+'Rev, Exp, Cha Unrestricted'!D47+'Rev, Exp, Cha Federal Restrict'!D47+'Rev, Exp, Cha State Restr '!D47+'Rev, Exp, Cha Local Restr '!D47</f>
        <v>887647.17</v>
      </c>
      <c r="F49" s="3">
        <f t="shared" si="5"/>
        <v>0.62761542850718754</v>
      </c>
      <c r="H49" s="5">
        <f>+'Rev, Exp, Cha Unrestricted'!H47+'Rev, Exp, Cha Federal Restrict'!H47+'Rev, Exp, Cha State Restr '!H47+'Rev, Exp, Cha Local Restr '!H47</f>
        <v>1198144.2</v>
      </c>
      <c r="J49" s="3">
        <f t="shared" si="6"/>
        <v>0.74085170215738638</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44518206</v>
      </c>
      <c r="C52" s="6"/>
      <c r="D52" s="8">
        <f>SUM(D41:D51)</f>
        <v>35617030.609999992</v>
      </c>
      <c r="F52" s="3">
        <f t="shared" si="5"/>
        <v>0.80005538879980909</v>
      </c>
      <c r="H52" s="8">
        <f>SUM(H41:H51)</f>
        <v>30694986.630000003</v>
      </c>
      <c r="J52" s="3">
        <f t="shared" ref="J52" si="7">+(D52-H52)/H52+1</f>
        <v>1.1603533514880044</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285844.26</v>
      </c>
      <c r="F55" s="3">
        <f t="shared" ref="F55:F56" si="8">+(D55-B55)/B55+1</f>
        <v>0.8555854674760246</v>
      </c>
      <c r="H55" s="5">
        <f>+'Rev, Exp, Cha Unrestricted'!H53+'Rev, Exp, Cha Federal Restrict'!H52+'Rev, Exp, Cha State Restr '!H52+'Rev, Exp, Cha Local Restr '!H52+'Rev, Exp, Cha Auxiliary'!H33+'Rev, Exp, Cha Debt Service'!H43</f>
        <v>259766.72</v>
      </c>
      <c r="J55" s="3">
        <f t="shared" ref="J55:J56" si="9">+(D55-H55)/H55+1</f>
        <v>1.100388302242874</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-727839.4</v>
      </c>
      <c r="F56" s="3">
        <f t="shared" si="8"/>
        <v>1.6466954751131222</v>
      </c>
      <c r="H56" s="8">
        <f>+'Rev, Exp, Cha Unrestricted'!H54+'Rev, Exp, Cha Federal Restrict'!H53+'Rev, Exp, Cha State Restr '!H53+'Rev, Exp, Cha Local Restr '!H53+'Rev, Exp, Cha Debt Service'!H44</f>
        <v>-701761.72</v>
      </c>
      <c r="J56" s="3">
        <f t="shared" si="9"/>
        <v>1.0371603056376459</v>
      </c>
    </row>
    <row r="57" spans="1:11" ht="16.5" x14ac:dyDescent="0.35">
      <c r="A57" s="56" t="s">
        <v>55</v>
      </c>
      <c r="B57" s="26">
        <f>SUM(B55:B56)</f>
        <v>-107908</v>
      </c>
      <c r="C57" s="6"/>
      <c r="D57" s="8">
        <f>SUM(D55:D56)</f>
        <v>-441995.14</v>
      </c>
      <c r="F57" s="3"/>
      <c r="G57" s="26">
        <f>SUM(G55:G56)</f>
        <v>0</v>
      </c>
      <c r="H57" s="8">
        <f>SUM(H55:H56)</f>
        <v>-441995</v>
      </c>
      <c r="J57" s="3"/>
    </row>
    <row r="58" spans="1:11" ht="3.95" customHeight="1" x14ac:dyDescent="0.25">
      <c r="B58" s="6"/>
      <c r="C58" s="6"/>
      <c r="D58" s="6"/>
      <c r="F58" s="3"/>
      <c r="H58" s="6"/>
      <c r="J58" s="3"/>
    </row>
    <row r="59" spans="1:11" ht="16.5" x14ac:dyDescent="0.35">
      <c r="A59" s="4" t="s">
        <v>397</v>
      </c>
      <c r="B59" s="34">
        <f>+B38-B52+B57</f>
        <v>0</v>
      </c>
      <c r="C59" s="6"/>
      <c r="D59" s="9">
        <f>+D38-D52+D57</f>
        <v>8136490.8300000066</v>
      </c>
      <c r="F59" s="3"/>
      <c r="H59" s="9">
        <f>+H38-H52+H57</f>
        <v>7115258.1899999976</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tabSelected="1" zoomScaleNormal="100" workbookViewId="0">
      <selection activeCell="H67" sqref="H67"/>
    </sheetView>
  </sheetViews>
  <sheetFormatPr defaultRowHeight="15" x14ac:dyDescent="0.25"/>
  <cols>
    <col min="1" max="1" width="6.5703125" style="43" customWidth="1"/>
    <col min="2" max="2" width="33.28515625" style="2" customWidth="1"/>
    <col min="3" max="8" width="9.140625" style="2"/>
  </cols>
  <sheetData>
    <row r="1" spans="1:8" ht="15.75" x14ac:dyDescent="0.25">
      <c r="A1" s="131" t="s">
        <v>0</v>
      </c>
      <c r="B1" s="131"/>
      <c r="C1" s="131"/>
      <c r="D1" s="131"/>
      <c r="E1" s="131"/>
      <c r="F1" s="131"/>
      <c r="G1" s="131"/>
      <c r="H1" s="131"/>
    </row>
    <row r="2" spans="1:8" x14ac:dyDescent="0.25">
      <c r="A2" s="132" t="s">
        <v>395</v>
      </c>
      <c r="B2" s="132"/>
      <c r="C2" s="132"/>
      <c r="D2" s="132"/>
      <c r="E2" s="132"/>
      <c r="F2" s="132"/>
      <c r="G2" s="132"/>
      <c r="H2" s="132"/>
    </row>
    <row r="3" spans="1:8" x14ac:dyDescent="0.25">
      <c r="A3" s="133" t="str">
        <f>+'Statement of Net Position'!A3:E3</f>
        <v>April 30, 2024</v>
      </c>
      <c r="B3" s="133"/>
      <c r="C3" s="133"/>
      <c r="D3" s="133"/>
      <c r="E3" s="133"/>
      <c r="F3" s="133"/>
      <c r="G3" s="133"/>
      <c r="H3" s="133"/>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7" t="s">
        <v>205</v>
      </c>
      <c r="C9" s="137"/>
      <c r="D9" s="137"/>
      <c r="E9" s="137"/>
      <c r="F9" s="137"/>
      <c r="G9" s="137"/>
      <c r="H9" s="137"/>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7" t="s">
        <v>248</v>
      </c>
      <c r="C13" s="137"/>
      <c r="D13" s="137"/>
      <c r="E13" s="137"/>
      <c r="F13" s="137"/>
      <c r="G13" s="137"/>
      <c r="H13" s="137"/>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7" t="s">
        <v>249</v>
      </c>
      <c r="C18" s="137"/>
      <c r="D18" s="137"/>
      <c r="E18" s="137"/>
      <c r="F18" s="137"/>
      <c r="G18" s="137"/>
      <c r="H18" s="137"/>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7" t="s">
        <v>285</v>
      </c>
      <c r="C34" s="137"/>
      <c r="D34" s="137"/>
      <c r="E34" s="137"/>
      <c r="F34" s="137"/>
      <c r="G34" s="137"/>
      <c r="H34" s="137"/>
    </row>
    <row r="35" spans="1:8" s="65" customFormat="1" ht="15" customHeight="1" x14ac:dyDescent="0.25">
      <c r="B35" s="75" t="s">
        <v>121</v>
      </c>
    </row>
    <row r="36" spans="1:8" s="65" customFormat="1" ht="15" customHeight="1" x14ac:dyDescent="0.25">
      <c r="A36" s="64" t="s">
        <v>122</v>
      </c>
      <c r="B36" s="137" t="s">
        <v>250</v>
      </c>
      <c r="C36" s="137"/>
      <c r="D36" s="137"/>
      <c r="E36" s="137"/>
      <c r="F36" s="137"/>
      <c r="G36" s="137"/>
      <c r="H36" s="137"/>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6" t="s">
        <v>228</v>
      </c>
      <c r="C50" s="136"/>
      <c r="D50" s="136"/>
      <c r="E50" s="136"/>
      <c r="F50" s="136"/>
      <c r="G50" s="136"/>
      <c r="H50" s="136"/>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7" t="s">
        <v>64</v>
      </c>
      <c r="C66" s="137"/>
      <c r="D66" s="137"/>
      <c r="E66" s="137"/>
      <c r="F66" s="137"/>
      <c r="G66" s="137"/>
      <c r="H66" s="137"/>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7" t="s">
        <v>243</v>
      </c>
      <c r="C90" s="137"/>
      <c r="D90" s="137"/>
      <c r="E90" s="137"/>
      <c r="F90" s="137"/>
      <c r="G90" s="137"/>
      <c r="H90" s="137"/>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6" t="s">
        <v>286</v>
      </c>
      <c r="C103" s="136"/>
      <c r="D103" s="136"/>
      <c r="E103" s="136"/>
      <c r="F103" s="136"/>
      <c r="G103" s="136"/>
      <c r="H103" s="136"/>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6" t="s">
        <v>289</v>
      </c>
      <c r="C107" s="136"/>
      <c r="D107" s="136"/>
      <c r="E107" s="136"/>
      <c r="F107" s="136"/>
      <c r="G107" s="136"/>
      <c r="H107" s="136"/>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7" t="s">
        <v>245</v>
      </c>
      <c r="C185" s="137"/>
      <c r="D185" s="137"/>
      <c r="E185" s="137"/>
      <c r="F185" s="137"/>
      <c r="G185" s="137"/>
      <c r="H185" s="137"/>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4" t="s">
        <v>358</v>
      </c>
      <c r="C195" s="134"/>
      <c r="D195" s="134"/>
      <c r="E195" s="134"/>
      <c r="F195" s="134"/>
      <c r="G195" s="134"/>
      <c r="H195" s="134"/>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4" t="s">
        <v>246</v>
      </c>
      <c r="C200" s="134"/>
      <c r="D200" s="134"/>
      <c r="E200" s="134"/>
      <c r="F200" s="134"/>
      <c r="G200" s="134"/>
      <c r="H200" s="134"/>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7" zoomScaleNormal="100" workbookViewId="0">
      <selection activeCell="H67" sqref="H67"/>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April 30,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45046</v>
      </c>
      <c r="K7" s="11"/>
    </row>
    <row r="8" spans="1:11" s="1" customFormat="1" x14ac:dyDescent="0.25">
      <c r="A8" s="4"/>
      <c r="B8" s="22" t="s">
        <v>33</v>
      </c>
      <c r="C8" s="80"/>
      <c r="D8" s="28" t="s">
        <v>35</v>
      </c>
      <c r="E8" s="87"/>
      <c r="F8" s="22" t="s">
        <v>33</v>
      </c>
      <c r="G8" s="87"/>
      <c r="H8" s="24">
        <f>+'Revenues, Expenditures, Changes'!H9</f>
        <v>45046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4000834.38</v>
      </c>
      <c r="E10" s="4"/>
      <c r="F10" s="3">
        <f>+(D10-B10)/B10+1</f>
        <v>0.74999997750469305</v>
      </c>
      <c r="G10" s="4"/>
      <c r="H10" s="32">
        <v>3163296</v>
      </c>
      <c r="I10" s="4"/>
      <c r="J10" s="3">
        <f t="shared" ref="J10" si="0">+(D10-H10)/H10+1</f>
        <v>1.264767628448302</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1070840</v>
      </c>
      <c r="C12" s="6"/>
      <c r="D12" s="5">
        <v>1070842</v>
      </c>
      <c r="E12" s="4"/>
      <c r="F12" s="3">
        <f>+(D12-B12)/B12+1</f>
        <v>1.0000018676926525</v>
      </c>
      <c r="G12" s="4"/>
      <c r="H12" s="5">
        <v>993695.99</v>
      </c>
      <c r="I12" s="4"/>
      <c r="J12" s="3">
        <f t="shared" ref="J12:J13" si="1">+(D12-H12)/H12+1</f>
        <v>1.0776354244923541</v>
      </c>
      <c r="K12" s="11"/>
    </row>
    <row r="13" spans="1:11" s="1" customFormat="1" x14ac:dyDescent="0.25">
      <c r="A13" s="10" t="s">
        <v>94</v>
      </c>
      <c r="B13" s="6">
        <v>402100</v>
      </c>
      <c r="C13" s="6"/>
      <c r="D13" s="5">
        <v>402100.18</v>
      </c>
      <c r="E13" s="4"/>
      <c r="F13" s="3">
        <f>+(D13-B13)/B13+1</f>
        <v>1.0000004476498383</v>
      </c>
      <c r="G13" s="4"/>
      <c r="H13" s="5">
        <v>342343.45</v>
      </c>
      <c r="I13" s="4"/>
      <c r="J13" s="3">
        <f t="shared" si="1"/>
        <v>1.1745519886534999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13770425.93</v>
      </c>
      <c r="E15" s="4"/>
      <c r="F15" s="3">
        <f>+(D15-B15)/B15+1</f>
        <v>1.0020981503310313</v>
      </c>
      <c r="G15" s="4"/>
      <c r="H15" s="5">
        <v>13263251.68</v>
      </c>
      <c r="I15" s="4"/>
      <c r="J15" s="3">
        <f t="shared" ref="J15" si="2">+(D15-H15)/H15+1</f>
        <v>1.0382390579803882</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3459655.44</v>
      </c>
      <c r="E18" s="4"/>
      <c r="F18" s="3">
        <f>+(D18-B18)/B18+1</f>
        <v>0.80906472858436751</v>
      </c>
      <c r="G18" s="4"/>
      <c r="H18" s="5">
        <v>3428323.8</v>
      </c>
      <c r="I18" s="4"/>
      <c r="J18" s="3">
        <f t="shared" ref="J18:J22" si="3">+(D18-H18)/H18+1</f>
        <v>1.0091390550682524</v>
      </c>
      <c r="K18" s="11"/>
    </row>
    <row r="19" spans="1:11" s="1" customFormat="1" x14ac:dyDescent="0.25">
      <c r="A19" s="10" t="s">
        <v>43</v>
      </c>
      <c r="B19" s="6">
        <f>515915+196345+215000+35000+122400+496200+10955</f>
        <v>1591815</v>
      </c>
      <c r="C19" s="6"/>
      <c r="D19" s="5">
        <v>1072125.6100000001</v>
      </c>
      <c r="E19" s="4"/>
      <c r="F19" s="3">
        <f>+(D19-B19)/B19+1</f>
        <v>0.67352400247516209</v>
      </c>
      <c r="G19" s="4"/>
      <c r="H19" s="5">
        <v>815349.65</v>
      </c>
      <c r="I19" s="4"/>
      <c r="J19" s="3">
        <f t="shared" si="3"/>
        <v>1.3149274179488519</v>
      </c>
      <c r="K19" s="11"/>
    </row>
    <row r="20" spans="1:11" s="1" customFormat="1" x14ac:dyDescent="0.25">
      <c r="A20" s="10" t="s">
        <v>75</v>
      </c>
      <c r="B20" s="6">
        <v>-220000</v>
      </c>
      <c r="C20" s="6"/>
      <c r="D20" s="5">
        <v>-127075</v>
      </c>
      <c r="E20" s="4"/>
      <c r="F20" s="3">
        <f>+(D20-B20)/B20+1</f>
        <v>0.57761363636363638</v>
      </c>
      <c r="G20" s="4"/>
      <c r="H20" s="5">
        <v>-101891</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4091706.44</v>
      </c>
      <c r="E22" s="4"/>
      <c r="F22" s="3">
        <f>+(D22-B22)/B22+1</f>
        <v>0.82074574473377204</v>
      </c>
      <c r="G22" s="4"/>
      <c r="H22" s="5">
        <v>3861180.59</v>
      </c>
      <c r="I22" s="4"/>
      <c r="J22" s="3">
        <f t="shared" si="3"/>
        <v>1.0597034623547614</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-122692.06</v>
      </c>
      <c r="E25" s="4"/>
      <c r="F25" s="3">
        <f>+(D25-B25)/B25+1</f>
        <v>0.40897353333333331</v>
      </c>
      <c r="G25" s="4"/>
      <c r="H25" s="5">
        <v>-145909.35999999999</v>
      </c>
      <c r="I25" s="4"/>
      <c r="J25" s="3">
        <f t="shared" ref="J25:J30" si="4">+(D25-H25)/H25+1</f>
        <v>0.8408786112145239</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390705.22</v>
      </c>
      <c r="E27" s="4"/>
      <c r="F27" s="3">
        <f>+(D27-B27)/B27+1</f>
        <v>0.90198406139042664</v>
      </c>
      <c r="G27" s="4"/>
      <c r="H27" s="5">
        <v>353954.91</v>
      </c>
      <c r="I27" s="4"/>
      <c r="J27" s="3">
        <f t="shared" si="4"/>
        <v>1.1038276598564489</v>
      </c>
      <c r="K27" s="11"/>
    </row>
    <row r="28" spans="1:11" s="1" customFormat="1" x14ac:dyDescent="0.25">
      <c r="A28" s="4" t="s">
        <v>47</v>
      </c>
      <c r="B28" s="6">
        <v>800000</v>
      </c>
      <c r="C28" s="6"/>
      <c r="D28" s="5">
        <v>481913.87</v>
      </c>
      <c r="E28" s="4"/>
      <c r="F28" s="3">
        <f>+(D28-B28)/B28+1</f>
        <v>0.60239233749999999</v>
      </c>
      <c r="G28" s="4"/>
      <c r="H28" s="5">
        <v>297316.83</v>
      </c>
      <c r="I28" s="4"/>
      <c r="J28" s="3">
        <f t="shared" si="4"/>
        <v>1.6208765242115624</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76920.41</v>
      </c>
      <c r="E30" s="4"/>
      <c r="F30" s="3">
        <f>+(D30-B30)/B30+1</f>
        <v>0.67562942468159859</v>
      </c>
      <c r="G30" s="4"/>
      <c r="H30" s="5">
        <v>73705.320000000007</v>
      </c>
      <c r="I30" s="4"/>
      <c r="J30" s="3">
        <f t="shared" si="4"/>
        <v>1.043620867530322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489292</v>
      </c>
      <c r="C35" s="6"/>
      <c r="D35" s="33">
        <v>543250.02</v>
      </c>
      <c r="E35" s="4"/>
      <c r="F35" s="3">
        <f>+(D35-B35)/B35+1</f>
        <v>1.1102777482566648</v>
      </c>
      <c r="G35" s="4"/>
      <c r="H35" s="33">
        <v>83918.15</v>
      </c>
      <c r="I35" s="4"/>
      <c r="J35" s="3">
        <f t="shared" ref="J35:J36" si="8">+(D35-H35)/H35+1</f>
        <v>6.4735700203114588</v>
      </c>
      <c r="K35" s="38"/>
    </row>
    <row r="36" spans="1:11" s="1" customFormat="1" ht="16.5" x14ac:dyDescent="0.35">
      <c r="A36" s="80" t="s">
        <v>55</v>
      </c>
      <c r="B36" s="26">
        <f>SUM(B10:B35)</f>
        <v>32718568</v>
      </c>
      <c r="C36" s="6"/>
      <c r="D36" s="8">
        <f>SUM(D10:D35)</f>
        <v>29110712.440000001</v>
      </c>
      <c r="E36" s="4"/>
      <c r="F36" s="3">
        <f>+(D36-B36)/B36+1</f>
        <v>0.88973063980061728</v>
      </c>
      <c r="G36" s="4"/>
      <c r="H36" s="8">
        <f>SUM(H10:H35)</f>
        <v>26428536.009999998</v>
      </c>
      <c r="I36" s="4"/>
      <c r="J36" s="3">
        <f t="shared" si="8"/>
        <v>1.1014878928210448</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11818666</v>
      </c>
      <c r="C39" s="6"/>
      <c r="D39" s="90">
        <v>8261132.4100000001</v>
      </c>
      <c r="E39" s="4"/>
      <c r="F39" s="3">
        <f t="shared" ref="F39:F49" si="9">+(D39-B39)/B39+1</f>
        <v>0.69899025913753721</v>
      </c>
      <c r="G39" s="4"/>
      <c r="H39" s="90">
        <v>7463304.25</v>
      </c>
      <c r="I39" s="4"/>
      <c r="J39" s="3">
        <f t="shared" ref="J39:J50" si="10">+(D39-H39)/H39+1</f>
        <v>1.1069001253700732</v>
      </c>
      <c r="K39" s="11"/>
    </row>
    <row r="40" spans="1:11" s="1" customFormat="1" x14ac:dyDescent="0.25">
      <c r="A40" s="4" t="s">
        <v>58</v>
      </c>
      <c r="B40" s="6">
        <v>516731</v>
      </c>
      <c r="C40" s="6"/>
      <c r="D40" s="90">
        <v>150841.60000000001</v>
      </c>
      <c r="E40" s="4"/>
      <c r="F40" s="3">
        <f t="shared" si="9"/>
        <v>0.29191513572826089</v>
      </c>
      <c r="G40" s="4"/>
      <c r="H40" s="90">
        <v>159685.56</v>
      </c>
      <c r="I40" s="4"/>
      <c r="J40" s="3">
        <f t="shared" si="10"/>
        <v>0.94461640739463237</v>
      </c>
      <c r="K40" s="11"/>
    </row>
    <row r="41" spans="1:11" s="1" customFormat="1" x14ac:dyDescent="0.25">
      <c r="A41" s="4" t="s">
        <v>59</v>
      </c>
      <c r="B41" s="6">
        <v>3391971</v>
      </c>
      <c r="C41" s="6"/>
      <c r="D41" s="90">
        <v>2289834.2799999998</v>
      </c>
      <c r="E41" s="4"/>
      <c r="F41" s="3">
        <f t="shared" si="9"/>
        <v>0.67507483996767648</v>
      </c>
      <c r="G41" s="4"/>
      <c r="H41" s="90">
        <v>2331198.7999999998</v>
      </c>
      <c r="I41" s="4"/>
      <c r="J41" s="3">
        <f t="shared" si="10"/>
        <v>0.98225611646677236</v>
      </c>
      <c r="K41" s="11"/>
    </row>
    <row r="42" spans="1:11" s="1" customFormat="1" x14ac:dyDescent="0.25">
      <c r="A42" s="4" t="s">
        <v>60</v>
      </c>
      <c r="B42" s="6">
        <v>2631055</v>
      </c>
      <c r="C42" s="6"/>
      <c r="D42" s="90">
        <v>1677682.05</v>
      </c>
      <c r="E42" s="4"/>
      <c r="F42" s="3">
        <f t="shared" si="9"/>
        <v>0.63764613434534811</v>
      </c>
      <c r="G42" s="4"/>
      <c r="H42" s="90">
        <v>1750609.46</v>
      </c>
      <c r="I42" s="4"/>
      <c r="J42" s="3">
        <f t="shared" si="10"/>
        <v>0.95834170232348681</v>
      </c>
      <c r="K42" s="11"/>
    </row>
    <row r="43" spans="1:11" s="1" customFormat="1" x14ac:dyDescent="0.25">
      <c r="A43" s="4" t="s">
        <v>61</v>
      </c>
      <c r="B43" s="6">
        <v>6888294</v>
      </c>
      <c r="C43" s="6"/>
      <c r="D43" s="90">
        <v>5010260.68</v>
      </c>
      <c r="E43" s="4"/>
      <c r="F43" s="3">
        <f t="shared" si="9"/>
        <v>0.72735871610590364</v>
      </c>
      <c r="G43" s="4"/>
      <c r="H43" s="90">
        <v>4516277.9000000004</v>
      </c>
      <c r="I43" s="4"/>
      <c r="J43" s="3">
        <f t="shared" si="10"/>
        <v>1.1093782957864482</v>
      </c>
      <c r="K43" s="11"/>
    </row>
    <row r="44" spans="1:11" s="1" customFormat="1" x14ac:dyDescent="0.25">
      <c r="A44" s="4" t="s">
        <v>62</v>
      </c>
      <c r="B44" s="6">
        <v>4872262</v>
      </c>
      <c r="C44" s="6"/>
      <c r="D44" s="90">
        <v>3705189.27</v>
      </c>
      <c r="E44" s="4"/>
      <c r="F44" s="3">
        <f t="shared" si="9"/>
        <v>0.76046593348223057</v>
      </c>
      <c r="G44" s="4"/>
      <c r="H44" s="90">
        <v>2889792</v>
      </c>
      <c r="I44" s="4"/>
      <c r="J44" s="3">
        <f t="shared" si="10"/>
        <v>1.2821646921300911</v>
      </c>
      <c r="K44" s="11"/>
    </row>
    <row r="45" spans="1:11" s="1" customFormat="1" x14ac:dyDescent="0.25">
      <c r="A45" s="4" t="s">
        <v>63</v>
      </c>
      <c r="B45" s="6">
        <v>158000</v>
      </c>
      <c r="C45" s="6"/>
      <c r="D45" s="90">
        <v>153829.75</v>
      </c>
      <c r="E45" s="4"/>
      <c r="F45" s="3">
        <f t="shared" si="9"/>
        <v>0.97360601265822788</v>
      </c>
      <c r="G45" s="4"/>
      <c r="H45" s="90">
        <v>103301.98</v>
      </c>
      <c r="I45" s="4"/>
      <c r="J45" s="3">
        <f t="shared" si="10"/>
        <v>1.489126829902002</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1414317</v>
      </c>
      <c r="C47" s="6"/>
      <c r="D47" s="5">
        <v>887647.17</v>
      </c>
      <c r="E47" s="4"/>
      <c r="F47" s="3">
        <f t="shared" si="9"/>
        <v>0.62761542850718754</v>
      </c>
      <c r="G47" s="4"/>
      <c r="H47" s="5">
        <v>1198144.2</v>
      </c>
      <c r="I47" s="4"/>
      <c r="J47" s="3">
        <f t="shared" si="10"/>
        <v>0.74085170215738638</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31700347</v>
      </c>
      <c r="C50" s="6"/>
      <c r="D50" s="8">
        <f>SUM(D39:D49)</f>
        <v>22136417.210000001</v>
      </c>
      <c r="E50" s="4"/>
      <c r="F50" s="3">
        <f>+(D50-B50)/B50+1</f>
        <v>0.69830204729304701</v>
      </c>
      <c r="G50" s="4"/>
      <c r="H50" s="8">
        <f>SUM(H39:H49)</f>
        <v>20412314.149999999</v>
      </c>
      <c r="I50" s="4"/>
      <c r="J50" s="3">
        <f t="shared" si="10"/>
        <v>1.0844638705504148</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-727839.4</v>
      </c>
      <c r="E54" s="4"/>
      <c r="F54" s="3">
        <f>+(D54-B54)/B54+1</f>
        <v>1.6466954751131222</v>
      </c>
      <c r="G54" s="4"/>
      <c r="H54" s="33">
        <v>-701761.72</v>
      </c>
      <c r="I54" s="4"/>
      <c r="J54" s="3">
        <f t="shared" ref="J54:J55" si="12">+(D54-H54)/H54+1</f>
        <v>1.0371603056376459</v>
      </c>
      <c r="K54" s="11"/>
    </row>
    <row r="55" spans="1:11" s="1" customFormat="1" ht="16.5" x14ac:dyDescent="0.35">
      <c r="A55" s="80" t="s">
        <v>55</v>
      </c>
      <c r="B55" s="26">
        <f>SUM(B53:B54)</f>
        <v>-442000</v>
      </c>
      <c r="C55" s="6"/>
      <c r="D55" s="8">
        <f>SUM(D53:D54)</f>
        <v>-727839.4</v>
      </c>
      <c r="E55" s="4"/>
      <c r="F55" s="3">
        <f>+(D55-B55)/B55+1</f>
        <v>1.6466954751131222</v>
      </c>
      <c r="G55" s="26">
        <f>SUM(G53:G54)</f>
        <v>0</v>
      </c>
      <c r="H55" s="8">
        <f>SUM(H53:H54)</f>
        <v>-701761.72</v>
      </c>
      <c r="I55" s="4"/>
      <c r="J55" s="3">
        <f t="shared" si="12"/>
        <v>1.0371603056376459</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6246455.8300000001</v>
      </c>
      <c r="E57" s="4"/>
      <c r="F57" s="4"/>
      <c r="G57" s="4"/>
      <c r="H57" s="9">
        <f>+H36-H50+H55</f>
        <v>5314460.1399999997</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H67" sqref="H67"/>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April 30,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45046</v>
      </c>
      <c r="K7" s="11"/>
    </row>
    <row r="8" spans="1:11" s="1" customFormat="1" x14ac:dyDescent="0.25">
      <c r="A8" s="4"/>
      <c r="B8" s="22" t="s">
        <v>33</v>
      </c>
      <c r="C8" s="80"/>
      <c r="D8" s="28" t="s">
        <v>35</v>
      </c>
      <c r="E8" s="87"/>
      <c r="F8" s="22" t="s">
        <v>33</v>
      </c>
      <c r="G8" s="87"/>
      <c r="H8" s="24">
        <f>+'Revenues, Expenditures, Changes'!H9</f>
        <v>45046</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6134257.75</v>
      </c>
      <c r="E31" s="4"/>
      <c r="F31" s="3">
        <f t="shared" si="0"/>
        <v>1.8520437292204837</v>
      </c>
      <c r="G31" s="4"/>
      <c r="H31" s="7">
        <v>5286033.7300000004</v>
      </c>
      <c r="I31" s="4"/>
      <c r="J31" s="3">
        <f t="shared" ref="J31:J33" si="1">+D31/H31</f>
        <v>1.160465116820206</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4160278.22</v>
      </c>
      <c r="E33" s="4"/>
      <c r="F33" s="3">
        <f>+(D33-B33)/B33+1</f>
        <v>1.3718863296712573</v>
      </c>
      <c r="G33" s="4"/>
      <c r="H33" s="8">
        <v>2311336.63</v>
      </c>
      <c r="I33" s="4"/>
      <c r="J33" s="3">
        <f t="shared" si="1"/>
        <v>1.7999447445264607</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10294535.970000001</v>
      </c>
      <c r="E36" s="4"/>
      <c r="F36" s="3">
        <f>+(D36-B36)/B36+1</f>
        <v>1.6225461284099434</v>
      </c>
      <c r="G36" s="4"/>
      <c r="H36" s="8">
        <f>SUM(H10:H35)</f>
        <v>7597370.3600000003</v>
      </c>
      <c r="I36" s="4"/>
      <c r="J36" s="3">
        <f t="shared" ref="J36" si="3">+D36/H36</f>
        <v>1.3550130482252809</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1240888.75</v>
      </c>
      <c r="E39" s="4"/>
      <c r="F39" s="3">
        <f t="shared" ref="F39:F47" si="4">+(D39-B39)/B39+1</f>
        <v>1.6084480908174137</v>
      </c>
      <c r="G39" s="4"/>
      <c r="H39" s="81">
        <v>1280559.3999999999</v>
      </c>
      <c r="I39" s="4"/>
      <c r="J39" s="3">
        <f t="shared" ref="J39:J49" si="5">+D39/H39</f>
        <v>0.96902084354696871</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23369.9</v>
      </c>
      <c r="E41" s="4"/>
      <c r="F41" s="3">
        <f t="shared" si="4"/>
        <v>2.7095536231884059</v>
      </c>
      <c r="G41" s="4"/>
      <c r="H41" s="81">
        <v>177782.5</v>
      </c>
      <c r="I41" s="4"/>
      <c r="J41" s="3">
        <f t="shared" si="5"/>
        <v>0.13145219580104905</v>
      </c>
      <c r="K41" s="11"/>
    </row>
    <row r="42" spans="1:11" s="1" customFormat="1" x14ac:dyDescent="0.25">
      <c r="A42" s="4" t="s">
        <v>60</v>
      </c>
      <c r="B42" s="6">
        <v>428278</v>
      </c>
      <c r="C42" s="6"/>
      <c r="D42" s="81">
        <v>669668.89</v>
      </c>
      <c r="E42" s="4"/>
      <c r="F42" s="3">
        <f t="shared" si="4"/>
        <v>1.5636313095699523</v>
      </c>
      <c r="G42" s="4"/>
      <c r="H42" s="81">
        <v>627415.30000000005</v>
      </c>
      <c r="I42" s="4"/>
      <c r="J42" s="3">
        <f t="shared" si="5"/>
        <v>1.067345488705806</v>
      </c>
      <c r="K42" s="11"/>
    </row>
    <row r="43" spans="1:11" s="1" customFormat="1" x14ac:dyDescent="0.25">
      <c r="A43" s="4" t="s">
        <v>61</v>
      </c>
      <c r="B43" s="6">
        <v>1824139</v>
      </c>
      <c r="C43" s="6"/>
      <c r="D43" s="81">
        <v>2226350.6800000002</v>
      </c>
      <c r="E43" s="4"/>
      <c r="F43" s="3">
        <f t="shared" si="4"/>
        <v>1.2204939864780042</v>
      </c>
      <c r="G43" s="4"/>
      <c r="H43" s="81">
        <v>263465.78999999998</v>
      </c>
      <c r="I43" s="4"/>
      <c r="J43" s="3">
        <f t="shared" si="5"/>
        <v>8.4502457795374504</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6134257.75</v>
      </c>
      <c r="E45" s="4"/>
      <c r="F45" s="3">
        <f t="shared" si="4"/>
        <v>1.8520437292204837</v>
      </c>
      <c r="G45" s="4"/>
      <c r="H45" s="82">
        <v>5248147.37</v>
      </c>
      <c r="I45" s="4"/>
      <c r="J45" s="3">
        <f t="shared" si="5"/>
        <v>1.1688425109906926</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10294535.970000001</v>
      </c>
      <c r="E49" s="4"/>
      <c r="F49" s="3">
        <f>+(D49-B49)/B49+1</f>
        <v>1.6225461284099434</v>
      </c>
      <c r="G49" s="4"/>
      <c r="H49" s="83">
        <f>SUM(H39:H48)</f>
        <v>7597370.3599999994</v>
      </c>
      <c r="I49" s="4"/>
      <c r="J49" s="3">
        <f t="shared" si="5"/>
        <v>1.3550130482252811</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H67" sqref="H67"/>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April 30,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45046</v>
      </c>
      <c r="K7" s="11"/>
      <c r="L7" s="11"/>
    </row>
    <row r="8" spans="1:12" s="1" customFormat="1" x14ac:dyDescent="0.25">
      <c r="A8" s="4"/>
      <c r="B8" s="22" t="s">
        <v>33</v>
      </c>
      <c r="C8" s="80"/>
      <c r="D8" s="28" t="s">
        <v>35</v>
      </c>
      <c r="E8" s="87"/>
      <c r="F8" s="22" t="s">
        <v>33</v>
      </c>
      <c r="G8" s="87"/>
      <c r="H8" s="24">
        <f>+'Revenues, Expenditures, Changes'!H9</f>
        <v>45046</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4.8600000000000003</v>
      </c>
      <c r="E28" s="4"/>
      <c r="F28" s="3">
        <f t="shared" si="0"/>
        <v>1.62</v>
      </c>
      <c r="G28" s="4"/>
      <c r="H28" s="7">
        <v>2.5</v>
      </c>
      <c r="I28" s="4"/>
      <c r="J28" s="3">
        <f t="shared" ref="J28:J33" si="1">+D28/H28</f>
        <v>1.9440000000000002</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557489.73</v>
      </c>
      <c r="E34" s="4"/>
      <c r="F34" s="3">
        <f t="shared" ref="F34:F36" si="2">+(D34-B34)/B34+1</f>
        <v>2.5419357824518847</v>
      </c>
      <c r="G34" s="4"/>
      <c r="H34" s="98">
        <v>262012.75</v>
      </c>
      <c r="I34" s="4"/>
      <c r="J34" s="3">
        <f>+D34/H34</f>
        <v>2.1277198533277484</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557494.59</v>
      </c>
      <c r="E36" s="4"/>
      <c r="F36" s="3">
        <f t="shared" si="2"/>
        <v>2.541923171621375</v>
      </c>
      <c r="G36" s="4"/>
      <c r="H36" s="8">
        <f>SUM(H10:H35)</f>
        <v>262015.25</v>
      </c>
      <c r="I36" s="4"/>
      <c r="J36" s="3">
        <f>+D36/H36</f>
        <v>2.127718100377745</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102426.36</v>
      </c>
      <c r="E39" s="4"/>
      <c r="F39" s="3">
        <f>+(D39-B39)/B39+1</f>
        <v>1.2521100693128613</v>
      </c>
      <c r="G39" s="4"/>
      <c r="H39" s="5">
        <v>48683.33</v>
      </c>
      <c r="I39" s="4"/>
      <c r="J39" s="3">
        <f>+D39/H39</f>
        <v>2.1039308527169363</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23875.23</v>
      </c>
      <c r="E43" s="4"/>
      <c r="F43" s="3">
        <f t="shared" si="4"/>
        <v>1.0056539320163431</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717037.26</v>
      </c>
      <c r="E45" s="4"/>
      <c r="F45" s="3">
        <f t="shared" si="6"/>
        <v>2.8928190004357157</v>
      </c>
      <c r="G45" s="4"/>
      <c r="H45" s="8">
        <v>473098.64</v>
      </c>
      <c r="I45" s="4"/>
      <c r="J45" s="3">
        <f>+D45/H45</f>
        <v>1.5156189415382804</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843338.85</v>
      </c>
      <c r="E49" s="4"/>
      <c r="F49" s="3">
        <f>+(D49-B49)/B49+1</f>
        <v>2.3862767817731143</v>
      </c>
      <c r="G49" s="4"/>
      <c r="H49" s="8">
        <f>SUM(H39:H48)</f>
        <v>521781.97000000003</v>
      </c>
      <c r="I49" s="4"/>
      <c r="J49" s="3">
        <f>+D49/H49</f>
        <v>1.616266752183867</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285844.26</v>
      </c>
      <c r="E52" s="4"/>
      <c r="F52" s="3">
        <f>+(D52-B52)/B52+1</f>
        <v>2.1317025624198314</v>
      </c>
      <c r="G52" s="4"/>
      <c r="H52" s="8">
        <v>259766.72</v>
      </c>
      <c r="I52" s="4"/>
      <c r="J52" s="3">
        <f>+D52/H52</f>
        <v>1.100388302242874</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285844.26</v>
      </c>
      <c r="E54" s="4"/>
      <c r="F54" s="3"/>
      <c r="G54" s="26">
        <f>SUM(G52:G53)</f>
        <v>0</v>
      </c>
      <c r="H54" s="8">
        <f>SUM(H52:H53)</f>
        <v>259766.72</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H67" sqref="H67"/>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April 30,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45046</v>
      </c>
      <c r="K7" s="11"/>
      <c r="L7" s="11"/>
    </row>
    <row r="8" spans="1:12" s="1" customFormat="1" x14ac:dyDescent="0.25">
      <c r="A8" s="4"/>
      <c r="B8" s="22" t="s">
        <v>33</v>
      </c>
      <c r="C8" s="56"/>
      <c r="D8" s="28" t="s">
        <v>35</v>
      </c>
      <c r="E8" s="87"/>
      <c r="F8" s="22" t="s">
        <v>33</v>
      </c>
      <c r="G8" s="87"/>
      <c r="H8" s="24">
        <f>+'Revenues, Expenditures, Changes'!H9</f>
        <v>45046</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91748.27</v>
      </c>
      <c r="E35" s="4"/>
      <c r="F35" s="3">
        <f>+(D35-B35)/B35+1+0.0008</f>
        <v>2.0002828487991979</v>
      </c>
      <c r="G35" s="4"/>
      <c r="H35" s="85">
        <v>51012.02</v>
      </c>
      <c r="I35" s="4"/>
      <c r="J35" s="3">
        <f t="shared" ref="J35:J36" si="1">+D35/H35</f>
        <v>1.7985617899467619</v>
      </c>
      <c r="K35" s="11"/>
      <c r="L35" s="11"/>
    </row>
    <row r="36" spans="1:12" s="1" customFormat="1" ht="16.5" x14ac:dyDescent="0.35">
      <c r="A36" s="56" t="s">
        <v>55</v>
      </c>
      <c r="B36" s="26">
        <f>SUM(B10:B35)</f>
        <v>45886</v>
      </c>
      <c r="C36" s="6"/>
      <c r="D36" s="8">
        <f>SUM(D10:D35)</f>
        <v>91748.27</v>
      </c>
      <c r="E36" s="4"/>
      <c r="F36" s="3">
        <f>+(D36-B36)/B36+1+0.0008</f>
        <v>2.0002828487991979</v>
      </c>
      <c r="G36" s="4"/>
      <c r="H36" s="8">
        <f>SUM(H10:H35)</f>
        <v>51012.02</v>
      </c>
      <c r="I36" s="4"/>
      <c r="J36" s="3">
        <f t="shared" si="1"/>
        <v>1.7985617899467619</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88078.44</v>
      </c>
      <c r="E39" s="4"/>
      <c r="F39" s="3">
        <f>+(D39-B39)/B39+1</f>
        <v>1.9806260400269844</v>
      </c>
      <c r="G39" s="4"/>
      <c r="H39" s="5">
        <v>46814.98</v>
      </c>
      <c r="I39" s="4"/>
      <c r="J39" s="3">
        <f t="shared" ref="J39:J49" si="2">+D39/H39</f>
        <v>1.881415734878024</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3669.83</v>
      </c>
      <c r="E41" s="4"/>
      <c r="F41" s="3">
        <f t="shared" ref="F41" si="3">+(D41-B41)/B41+1</f>
        <v>2.5916878531073446</v>
      </c>
      <c r="G41" s="4"/>
      <c r="H41" s="8">
        <v>4197.04</v>
      </c>
      <c r="I41" s="4"/>
      <c r="J41" s="3">
        <f t="shared" si="2"/>
        <v>0.87438528105521984</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91748.27</v>
      </c>
      <c r="E49" s="4"/>
      <c r="F49" s="3">
        <f>+(D49-B49)/B49+1+0.0008</f>
        <v>2.0002828487991979</v>
      </c>
      <c r="G49" s="4"/>
      <c r="H49" s="8">
        <f>SUM(H39:H48)</f>
        <v>51012.020000000004</v>
      </c>
      <c r="I49" s="4"/>
      <c r="J49" s="3">
        <f t="shared" si="2"/>
        <v>1.7985617899467614</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H67" sqref="H67"/>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April 30,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45046</v>
      </c>
      <c r="K7" s="11"/>
    </row>
    <row r="8" spans="1:11" s="1" customFormat="1" x14ac:dyDescent="0.25">
      <c r="A8" s="4"/>
      <c r="B8" s="22" t="s">
        <v>33</v>
      </c>
      <c r="C8" s="56"/>
      <c r="D8" s="23" t="s">
        <v>35</v>
      </c>
      <c r="E8" s="87"/>
      <c r="F8" s="22" t="s">
        <v>33</v>
      </c>
      <c r="G8" s="87"/>
      <c r="H8" s="24">
        <f>+'Revenues, Expenditures, Changes'!H9</f>
        <v>45046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1284381.26</v>
      </c>
      <c r="E10" s="4"/>
      <c r="F10" s="3">
        <f>+D10/B10</f>
        <v>0.52468698067731523</v>
      </c>
      <c r="G10" s="4"/>
      <c r="H10" s="5">
        <v>1324586.19</v>
      </c>
      <c r="I10" s="4"/>
      <c r="J10" s="3">
        <f>+D10/H10</f>
        <v>0.96964717713084425</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508.52</v>
      </c>
      <c r="E12" s="4"/>
      <c r="F12" s="3">
        <v>0</v>
      </c>
      <c r="G12" s="4"/>
      <c r="H12" s="8">
        <v>244.21</v>
      </c>
      <c r="I12" s="4"/>
      <c r="J12" s="3">
        <f>+D12/H12</f>
        <v>2.0823062118668356</v>
      </c>
      <c r="K12" s="11"/>
    </row>
    <row r="13" spans="1:11" s="1" customFormat="1" ht="16.5" x14ac:dyDescent="0.35">
      <c r="A13" s="56" t="s">
        <v>55</v>
      </c>
      <c r="B13" s="26">
        <f>SUM(B10:B12)</f>
        <v>2447900</v>
      </c>
      <c r="C13" s="6"/>
      <c r="D13" s="8">
        <f>SUM(D10:D12)</f>
        <v>1284889.78</v>
      </c>
      <c r="E13" s="4"/>
      <c r="F13" s="3">
        <f>+D13/B13</f>
        <v>0.52489471792148368</v>
      </c>
      <c r="G13" s="4"/>
      <c r="H13" s="8">
        <f>SUM(H10:H12)</f>
        <v>1324830.3999999999</v>
      </c>
      <c r="I13" s="4"/>
      <c r="J13" s="3">
        <f>+D13/H13</f>
        <v>0.96985227694050513</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369658.1</v>
      </c>
      <c r="E16" s="4"/>
      <c r="F16" s="3">
        <f t="shared" ref="F16:F30" si="1">+D16/B16</f>
        <v>0.65131793626685741</v>
      </c>
      <c r="G16" s="4"/>
      <c r="H16" s="95">
        <v>363795.62</v>
      </c>
      <c r="I16" s="4"/>
      <c r="J16" s="3">
        <f t="shared" ref="J16:J30" si="2">+D16/H16</f>
        <v>1.0161147624592071</v>
      </c>
      <c r="K16" s="11"/>
    </row>
    <row r="17" spans="1:11" s="1" customFormat="1" x14ac:dyDescent="0.25">
      <c r="A17" s="4" t="s">
        <v>80</v>
      </c>
      <c r="B17" s="52">
        <v>201629</v>
      </c>
      <c r="C17" s="6"/>
      <c r="D17" s="5">
        <v>123117.75999999999</v>
      </c>
      <c r="E17" s="4"/>
      <c r="F17" s="3">
        <f t="shared" si="1"/>
        <v>0.61061533807140833</v>
      </c>
      <c r="G17" s="4"/>
      <c r="H17" s="95">
        <v>120130.91</v>
      </c>
      <c r="I17" s="4"/>
      <c r="J17" s="3">
        <f t="shared" si="2"/>
        <v>1.024863292886069</v>
      </c>
      <c r="K17" s="11"/>
    </row>
    <row r="18" spans="1:11" s="1" customFormat="1" x14ac:dyDescent="0.25">
      <c r="A18" s="4" t="s">
        <v>81</v>
      </c>
      <c r="B18" s="52">
        <v>192919</v>
      </c>
      <c r="C18" s="6"/>
      <c r="D18" s="5">
        <v>130293.93</v>
      </c>
      <c r="E18" s="4"/>
      <c r="F18" s="3">
        <f t="shared" si="1"/>
        <v>0.67538153318231997</v>
      </c>
      <c r="G18" s="4"/>
      <c r="H18" s="95">
        <v>129471.09</v>
      </c>
      <c r="I18" s="4"/>
      <c r="J18" s="3">
        <f t="shared" si="2"/>
        <v>1.0063553956331099</v>
      </c>
      <c r="K18" s="11"/>
    </row>
    <row r="19" spans="1:11" s="1" customFormat="1" x14ac:dyDescent="0.25">
      <c r="A19" s="4" t="s">
        <v>82</v>
      </c>
      <c r="B19" s="52">
        <v>139323</v>
      </c>
      <c r="C19" s="6"/>
      <c r="D19" s="5">
        <v>169545.68</v>
      </c>
      <c r="E19" s="4"/>
      <c r="F19" s="3">
        <f t="shared" si="1"/>
        <v>1.2169252743624526</v>
      </c>
      <c r="G19" s="4"/>
      <c r="H19" s="95">
        <v>166847.09</v>
      </c>
      <c r="I19" s="4"/>
      <c r="J19" s="3">
        <f t="shared" si="2"/>
        <v>1.0161740309645197</v>
      </c>
      <c r="K19" s="11"/>
    </row>
    <row r="20" spans="1:11" s="1" customFormat="1" x14ac:dyDescent="0.25">
      <c r="A20" s="4" t="s">
        <v>83</v>
      </c>
      <c r="B20" s="52">
        <v>26850</v>
      </c>
      <c r="C20" s="6"/>
      <c r="D20" s="5">
        <v>17281.04</v>
      </c>
      <c r="E20" s="4"/>
      <c r="F20" s="3">
        <f t="shared" si="1"/>
        <v>0.64361415270018629</v>
      </c>
      <c r="G20" s="4"/>
      <c r="H20" s="95">
        <v>20850.740000000002</v>
      </c>
      <c r="I20" s="4"/>
      <c r="J20" s="3">
        <f t="shared" si="2"/>
        <v>0.82879744316029069</v>
      </c>
      <c r="K20" s="11"/>
    </row>
    <row r="21" spans="1:11" s="1" customFormat="1" x14ac:dyDescent="0.25">
      <c r="A21" s="4" t="s">
        <v>88</v>
      </c>
      <c r="B21" s="52">
        <v>11815</v>
      </c>
      <c r="C21" s="6"/>
      <c r="D21" s="5">
        <v>4142.8</v>
      </c>
      <c r="E21" s="4"/>
      <c r="F21" s="3">
        <f t="shared" si="1"/>
        <v>0.35063901819720694</v>
      </c>
      <c r="G21" s="4"/>
      <c r="H21" s="95">
        <v>98.4</v>
      </c>
      <c r="I21" s="4"/>
      <c r="J21" s="3">
        <v>0</v>
      </c>
      <c r="K21" s="11"/>
    </row>
    <row r="22" spans="1:11" s="1" customFormat="1" x14ac:dyDescent="0.25">
      <c r="A22" s="4" t="s">
        <v>84</v>
      </c>
      <c r="B22" s="52">
        <v>14175</v>
      </c>
      <c r="C22" s="6"/>
      <c r="D22" s="5">
        <v>8043.5</v>
      </c>
      <c r="E22" s="4"/>
      <c r="F22" s="3">
        <f t="shared" si="1"/>
        <v>0.56744268077601412</v>
      </c>
      <c r="G22" s="4"/>
      <c r="H22" s="95">
        <v>10201.14</v>
      </c>
      <c r="I22" s="4"/>
      <c r="J22" s="3">
        <f t="shared" si="2"/>
        <v>0.78849030598540948</v>
      </c>
      <c r="K22" s="11"/>
    </row>
    <row r="23" spans="1:11" s="1" customFormat="1" x14ac:dyDescent="0.25">
      <c r="A23" s="4" t="s">
        <v>85</v>
      </c>
      <c r="B23" s="52">
        <v>4000</v>
      </c>
      <c r="C23" s="6"/>
      <c r="D23" s="5">
        <v>2011.95</v>
      </c>
      <c r="E23" s="4"/>
      <c r="F23" s="3">
        <f t="shared" si="1"/>
        <v>0.50298750000000003</v>
      </c>
      <c r="G23" s="4"/>
      <c r="H23" s="95">
        <v>1729.31</v>
      </c>
      <c r="I23" s="4"/>
      <c r="J23" s="3">
        <f t="shared" si="2"/>
        <v>1.1634409099583072</v>
      </c>
      <c r="K23" s="11"/>
    </row>
    <row r="24" spans="1:11" s="1" customFormat="1" x14ac:dyDescent="0.25">
      <c r="A24" s="4" t="s">
        <v>86</v>
      </c>
      <c r="B24" s="52">
        <v>3000</v>
      </c>
      <c r="C24" s="6"/>
      <c r="D24" s="20">
        <v>2956.76</v>
      </c>
      <c r="E24" s="4"/>
      <c r="F24" s="3">
        <f t="shared" si="1"/>
        <v>0.98558666666666672</v>
      </c>
      <c r="G24" s="4"/>
      <c r="H24" s="95">
        <v>5890.93</v>
      </c>
      <c r="I24" s="4"/>
      <c r="J24" s="3">
        <f t="shared" si="2"/>
        <v>0.50191735430568685</v>
      </c>
      <c r="K24" s="11"/>
    </row>
    <row r="25" spans="1:11" s="1" customFormat="1" x14ac:dyDescent="0.25">
      <c r="A25" s="4" t="s">
        <v>87</v>
      </c>
      <c r="B25" s="52">
        <f>199300+100073</f>
        <v>299373</v>
      </c>
      <c r="C25" s="6"/>
      <c r="D25" s="5">
        <v>142787.23000000001</v>
      </c>
      <c r="E25" s="4"/>
      <c r="F25" s="3">
        <f t="shared" si="1"/>
        <v>0.47695426775293703</v>
      </c>
      <c r="G25" s="4"/>
      <c r="H25" s="95">
        <v>144058.59</v>
      </c>
      <c r="I25" s="4"/>
      <c r="J25" s="3">
        <f t="shared" si="2"/>
        <v>0.99117470190427392</v>
      </c>
      <c r="K25" s="11"/>
    </row>
    <row r="26" spans="1:11" s="1" customFormat="1" x14ac:dyDescent="0.25">
      <c r="A26" s="4" t="s">
        <v>63</v>
      </c>
      <c r="B26" s="52">
        <v>42000</v>
      </c>
      <c r="C26" s="6"/>
      <c r="D26" s="5">
        <v>40540</v>
      </c>
      <c r="E26" s="4"/>
      <c r="F26" s="3">
        <f t="shared" si="1"/>
        <v>0.96523809523809523</v>
      </c>
      <c r="G26" s="4"/>
      <c r="H26" s="95">
        <v>37589</v>
      </c>
      <c r="I26" s="4"/>
      <c r="J26" s="3">
        <f t="shared" si="2"/>
        <v>1.07850701002953</v>
      </c>
      <c r="K26" s="11"/>
    </row>
    <row r="27" spans="1:11" s="1" customFormat="1" x14ac:dyDescent="0.25">
      <c r="A27" s="4" t="s">
        <v>64</v>
      </c>
      <c r="B27" s="52">
        <v>1514880</v>
      </c>
      <c r="C27" s="6"/>
      <c r="D27" s="5">
        <v>783260.52</v>
      </c>
      <c r="E27" s="4"/>
      <c r="F27" s="3">
        <f t="shared" si="1"/>
        <v>0.51704459759188848</v>
      </c>
      <c r="G27" s="4"/>
      <c r="H27" s="95">
        <v>825691.99</v>
      </c>
      <c r="I27" s="4"/>
      <c r="J27" s="3">
        <f t="shared" si="2"/>
        <v>0.94861101898299882</v>
      </c>
      <c r="K27" s="11"/>
    </row>
    <row r="28" spans="1:11" s="1" customFormat="1" ht="16.5" x14ac:dyDescent="0.35">
      <c r="A28" s="4" t="s">
        <v>89</v>
      </c>
      <c r="B28" s="53">
        <v>6603</v>
      </c>
      <c r="C28" s="6"/>
      <c r="D28" s="8">
        <v>7275.14</v>
      </c>
      <c r="E28" s="4"/>
      <c r="F28" s="3">
        <f t="shared" si="1"/>
        <v>1.1017931243374224</v>
      </c>
      <c r="G28" s="4"/>
      <c r="H28" s="96">
        <v>1359.57</v>
      </c>
      <c r="I28" s="4"/>
      <c r="J28" s="3">
        <f t="shared" si="2"/>
        <v>5.3510595261737173</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1800914.41</v>
      </c>
      <c r="E30" s="4"/>
      <c r="F30" s="3">
        <f t="shared" si="1"/>
        <v>0.59551665095411188</v>
      </c>
      <c r="G30" s="4"/>
      <c r="H30" s="8">
        <f>SUM(H16:H29)</f>
        <v>1827714.3800000001</v>
      </c>
      <c r="I30" s="4"/>
      <c r="J30" s="3">
        <f t="shared" si="2"/>
        <v>0.98533689383129974</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-516024.62999999989</v>
      </c>
      <c r="E37" s="4"/>
      <c r="F37" s="4"/>
      <c r="G37" s="4"/>
      <c r="H37" s="9">
        <f>+H13-H30+H35</f>
        <v>-502883.98000000021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2024-06-05T15:17:38Z</cp:lastPrinted>
  <dcterms:created xsi:type="dcterms:W3CDTF">2009-11-06T16:21:47Z</dcterms:created>
  <dcterms:modified xsi:type="dcterms:W3CDTF">2024-06-05T15:18:53Z</dcterms:modified>
</cp:coreProperties>
</file>