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2FE6CC7E-5B36-4594-B584-5298AB024CBB}" xr6:coauthVersionLast="47" xr6:coauthVersionMax="47" xr10:uidLastSave="{00000000-0000-0000-0000-000000000000}"/>
  <bookViews>
    <workbookView xWindow="-120" yWindow="-120" windowWidth="29040" windowHeight="1584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2" l="1"/>
  <c r="A3" i="24" l="1"/>
  <c r="H10" i="24"/>
  <c r="H12" i="24"/>
  <c r="H13" i="24"/>
  <c r="H15" i="24"/>
  <c r="B18" i="24"/>
  <c r="H18" i="24"/>
  <c r="B19" i="24"/>
  <c r="H19" i="24" s="1"/>
  <c r="H36" i="24" s="1"/>
  <c r="H55" i="24" s="1"/>
  <c r="H20" i="24"/>
  <c r="H22" i="24"/>
  <c r="H25" i="24"/>
  <c r="H26" i="24"/>
  <c r="H27" i="24"/>
  <c r="H28" i="24"/>
  <c r="B30" i="24"/>
  <c r="H30" i="24"/>
  <c r="H31" i="24"/>
  <c r="H33" i="24"/>
  <c r="H34" i="24"/>
  <c r="H35" i="24"/>
  <c r="B36" i="24"/>
  <c r="B55" i="24" s="1"/>
  <c r="D36" i="24"/>
  <c r="F36" i="24"/>
  <c r="F55" i="24" s="1"/>
  <c r="H39" i="24"/>
  <c r="H40" i="24"/>
  <c r="H41" i="24"/>
  <c r="H48" i="24" s="1"/>
  <c r="H42" i="24"/>
  <c r="H43" i="24"/>
  <c r="H44" i="24"/>
  <c r="H45" i="24"/>
  <c r="H46" i="24"/>
  <c r="H47" i="24"/>
  <c r="B48" i="24"/>
  <c r="D48" i="24"/>
  <c r="D55" i="24" s="1"/>
  <c r="F48" i="24"/>
  <c r="H51" i="24"/>
  <c r="H52" i="24"/>
  <c r="B53" i="24"/>
  <c r="D53" i="24"/>
  <c r="F53" i="24"/>
  <c r="H53" i="24"/>
  <c r="J28" i="6" l="1"/>
  <c r="H28" i="2"/>
  <c r="D19" i="6"/>
  <c r="H38" i="11" l="1"/>
  <c r="D38" i="1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23" s="1"/>
  <c r="A3" i="12"/>
  <c r="A3" i="11" l="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D80"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D81" i="1" s="1"/>
  <c r="B60" i="1"/>
  <c r="B62" i="1" s="1"/>
  <c r="B68" i="1" s="1"/>
  <c r="B80" i="1" l="1"/>
  <c r="B81" i="1" s="1"/>
  <c r="D60" i="1"/>
  <c r="D62" i="1" s="1"/>
  <c r="D68" i="1" s="1"/>
  <c r="B82" i="1" l="1"/>
  <c r="D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<sst xmlns="http://schemas.openxmlformats.org/spreadsheetml/2006/main" count="883" uniqueCount="404">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</sst>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abSelected="1" zoomScaleNormal="100" workbookViewId="0">
      <selection activeCell="F65" sqref="F65"/>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2297966.71</v>
      </c>
      <c r="C8" s="5"/>
      <c r="D8" s="7">
        <v>6028098.1100000003</v>
      </c>
      <c r="E8" s="16" t="s">
        <v>95</v>
      </c>
      <c r="F8" s="45"/>
    </row>
    <row r="9" spans="1:7" x14ac:dyDescent="0.25">
      <c r="A9" s="10" t="s">
        <v>3</v>
      </c>
      <c r="B9" s="5">
        <v>1390648.15</v>
      </c>
      <c r="C9" s="5"/>
      <c r="D9" s="5">
        <v>2377643.37</v>
      </c>
      <c r="E9" s="16" t="s">
        <v>96</v>
      </c>
      <c r="F9" s="45"/>
    </row>
    <row r="10" spans="1:7" x14ac:dyDescent="0.25">
      <c r="A10" s="10" t="s">
        <v>4</v>
      </c>
      <c r="B10" s="5">
        <v>36431627.259999998</v>
      </c>
      <c r="C10" s="5"/>
      <c r="D10" s="5">
        <v>19443647.129999999</v>
      </c>
      <c r="E10" s="16" t="s">
        <v>97</v>
      </c>
      <c r="F10" s="46"/>
    </row>
    <row r="11" spans="1:7" x14ac:dyDescent="0.25">
      <c r="A11" s="10" t="s">
        <v>5</v>
      </c>
      <c r="B11" s="5">
        <v>2273.77</v>
      </c>
      <c r="C11" s="5"/>
      <c r="D11" s="5">
        <v>109.43</v>
      </c>
      <c r="E11" s="16" t="s">
        <v>97</v>
      </c>
      <c r="F11" s="46"/>
      <c r="G11" s="14"/>
    </row>
    <row r="12" spans="1:7" x14ac:dyDescent="0.25">
      <c r="A12" s="10" t="s">
        <v>6</v>
      </c>
      <c r="B12" s="5">
        <v>7286141.0899999999</v>
      </c>
      <c r="C12" s="5"/>
      <c r="D12" s="5">
        <v>8208891.75</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47761658.610000007</v>
      </c>
      <c r="C16" s="5"/>
      <c r="D16" s="8">
        <f>SUM(D8:D15)</f>
        <v>36472641.5</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114240683.97</v>
      </c>
      <c r="C28" s="5"/>
      <c r="D28" s="8">
        <f>+D16+D22+D26</f>
        <v>100714827.5</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846680.38</v>
      </c>
      <c r="C32" s="5"/>
      <c r="D32" s="5">
        <v>588209.13</v>
      </c>
      <c r="E32" s="16" t="s">
        <v>109</v>
      </c>
    </row>
    <row r="33" spans="1:5" x14ac:dyDescent="0.25">
      <c r="A33" s="10" t="s">
        <v>17</v>
      </c>
      <c r="B33" s="5">
        <v>424004.19</v>
      </c>
      <c r="C33" s="5"/>
      <c r="D33" s="5">
        <v>702000.23</v>
      </c>
      <c r="E33" s="16" t="s">
        <v>193</v>
      </c>
    </row>
    <row r="34" spans="1:5" x14ac:dyDescent="0.25">
      <c r="A34" s="10" t="s">
        <v>18</v>
      </c>
      <c r="B34" s="5">
        <v>288965.51</v>
      </c>
      <c r="C34" s="5"/>
      <c r="D34" s="5">
        <v>267866.90999999997</v>
      </c>
      <c r="E34" s="56" t="s">
        <v>260</v>
      </c>
    </row>
    <row r="35" spans="1:5" ht="16.5" x14ac:dyDescent="0.35">
      <c r="A35" s="10" t="s">
        <v>19</v>
      </c>
      <c r="B35" s="8">
        <v>247911.89</v>
      </c>
      <c r="C35" s="5"/>
      <c r="D35" s="8">
        <v>674458.64</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1807561.9700000002</v>
      </c>
      <c r="C41" s="5"/>
      <c r="D41" s="8">
        <f>SUM(D32:D35)</f>
        <v>2232534.9099999997</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59058950.979999997</v>
      </c>
      <c r="C62" s="5"/>
      <c r="D62" s="8">
        <f>+D41+D60</f>
        <v>53143855.909999996</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72350540.979999989</v>
      </c>
      <c r="C68" s="5"/>
      <c r="D68" s="8">
        <f>+D62+D66</f>
        <v>63347993.909999996</v>
      </c>
    </row>
    <row r="69" spans="1:8" ht="7.5" customHeight="1" x14ac:dyDescent="0.25">
      <c r="B69" s="5"/>
      <c r="C69" s="5"/>
      <c r="D69" s="5"/>
    </row>
    <row r="70" spans="1:8" x14ac:dyDescent="0.25">
      <c r="A70" s="29" t="s">
        <v>282</v>
      </c>
      <c r="B70" s="5"/>
      <c r="C70" s="5"/>
      <c r="D70" s="5"/>
    </row>
    <row r="71" spans="1:8" x14ac:dyDescent="0.25">
      <c r="A71" s="4" t="s">
        <v>29</v>
      </c>
      <c r="B71" s="5">
        <v>29795501.670000002</v>
      </c>
      <c r="C71" s="5"/>
      <c r="D71" s="5">
        <v>27430473.449999999</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12094641.320000011</v>
      </c>
      <c r="C75" s="5"/>
      <c r="D75" s="8">
        <f>'Revenues, Expenditures, Changes'!H59</f>
        <v>9936360.1400000025</v>
      </c>
    </row>
    <row r="76" spans="1:8" ht="7.5" customHeight="1" x14ac:dyDescent="0.35">
      <c r="B76" s="8"/>
      <c r="C76" s="5"/>
      <c r="D76" s="8"/>
    </row>
    <row r="77" spans="1:8" ht="16.5" x14ac:dyDescent="0.35">
      <c r="A77" s="4" t="s">
        <v>283</v>
      </c>
      <c r="B77" s="9">
        <f>SUM(B71:B76)</f>
        <v>41890142.99000001</v>
      </c>
      <c r="C77" s="5"/>
      <c r="D77" s="9">
        <f>SUM(D71:D76)</f>
        <v>37366833.590000004</v>
      </c>
      <c r="F77" s="46"/>
      <c r="G77" s="14"/>
      <c r="H77" s="15"/>
    </row>
    <row r="78" spans="1:8" x14ac:dyDescent="0.25">
      <c r="B78" s="5"/>
      <c r="C78" s="5"/>
      <c r="D78" s="5"/>
      <c r="H78" s="15"/>
    </row>
    <row r="79" spans="1:8" x14ac:dyDescent="0.25">
      <c r="B79" s="5"/>
      <c r="C79" s="5"/>
      <c r="D79" s="5"/>
    </row>
    <row r="80" spans="1:8" x14ac:dyDescent="0.25">
      <c r="A80" s="92" t="s">
        <v>359</v>
      </c>
      <c r="B80" s="5">
        <f>+B28-B68</f>
        <v>41890142.99000001</v>
      </c>
      <c r="C80" s="5"/>
      <c r="D80" s="5">
        <f>+D28-D68</f>
        <v>37366833.590000004</v>
      </c>
    </row>
    <row r="81" spans="1:4" ht="16.5" x14ac:dyDescent="0.35">
      <c r="A81" s="92" t="s">
        <v>360</v>
      </c>
      <c r="B81" s="83">
        <f>+B77-B80</f>
        <v>0</v>
      </c>
      <c r="C81" s="83"/>
      <c r="D81" s="83">
        <f>+D77-D80</f>
        <v>0</v>
      </c>
    </row>
    <row r="82" spans="1:4" ht="16.5" x14ac:dyDescent="0.35">
      <c r="B82" s="62">
        <f>SUM(B80:B81)</f>
        <v>41890142.99000001</v>
      </c>
      <c r="C82" s="62"/>
      <c r="D82" s="62">
        <f>SUM(D80:D81)</f>
        <v>37366833.590000004</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view="pageBreakPreview" zoomScale="60" zoomScaleNormal="100" workbookViewId="0">
      <selection activeCell="A81" sqref="A81"/>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February 29,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44985</v>
      </c>
      <c r="K7" s="11"/>
      <c r="L7" s="11"/>
    </row>
    <row r="8" spans="1:12" s="1" customFormat="1" x14ac:dyDescent="0.25">
      <c r="A8" s="4"/>
      <c r="B8" s="22" t="s">
        <v>33</v>
      </c>
      <c r="C8" s="56"/>
      <c r="D8" s="28" t="s">
        <v>35</v>
      </c>
      <c r="E8" s="87"/>
      <c r="F8" s="22" t="s">
        <v>33</v>
      </c>
      <c r="G8" s="87"/>
      <c r="H8" s="37">
        <f>+'Revenues, Expenditures, Changes'!H9</f>
        <v>44985</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2722826.89</v>
      </c>
      <c r="E13" s="4"/>
      <c r="F13" s="3">
        <f>+D13/B13</f>
        <v>0.95545831578799623</v>
      </c>
      <c r="G13" s="4"/>
      <c r="H13" s="7">
        <v>2517706.85</v>
      </c>
      <c r="I13" s="4"/>
      <c r="J13" s="3">
        <f>+D13/H13</f>
        <v>1.0814709782435552</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61.84</v>
      </c>
      <c r="E26" s="35"/>
      <c r="F26" s="3">
        <v>0</v>
      </c>
      <c r="G26" s="35"/>
      <c r="H26" s="5">
        <v>1.81</v>
      </c>
      <c r="I26" s="4"/>
      <c r="J26" s="3">
        <f t="shared" si="1"/>
        <v>34.165745856353595</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2723445.56</v>
      </c>
      <c r="E34" s="4"/>
      <c r="F34" s="3">
        <f>+D34/B34</f>
        <v>0.95567541126270283</v>
      </c>
      <c r="G34" s="4"/>
      <c r="H34" s="8">
        <f>SUM(H10:H33)</f>
        <v>2517708.66</v>
      </c>
      <c r="I34" s="4"/>
      <c r="J34" s="3">
        <f t="shared" si="2"/>
        <v>1.0817159281646194</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2273369.66</v>
      </c>
      <c r="E47" s="4"/>
      <c r="F47" s="3"/>
      <c r="G47" s="4"/>
      <c r="H47" s="89">
        <f>+H34-H40+H45</f>
        <v>2232914.91</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view="pageBreakPreview" topLeftCell="A17" zoomScale="60" zoomScaleNormal="100" workbookViewId="0">
      <selection activeCell="A81" sqref="A81"/>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February 29,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133855</v>
      </c>
      <c r="E12" s="103"/>
      <c r="F12" s="103">
        <v>803131</v>
      </c>
      <c r="G12" s="102"/>
      <c r="H12" s="103">
        <f>+B12+F12</f>
        <v>803131</v>
      </c>
      <c r="I12" s="102"/>
      <c r="J12" s="102"/>
    </row>
    <row r="13" spans="1:10" s="106" customFormat="1" x14ac:dyDescent="0.25">
      <c r="A13" s="113" t="s">
        <v>94</v>
      </c>
      <c r="B13" s="103">
        <v>0</v>
      </c>
      <c r="C13" s="103"/>
      <c r="D13" s="103">
        <v>50368</v>
      </c>
      <c r="E13" s="103"/>
      <c r="F13" s="103">
        <v>300757</v>
      </c>
      <c r="G13" s="102"/>
      <c r="H13" s="103">
        <f>+B13+F13</f>
        <v>300757</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51725</v>
      </c>
      <c r="E35" s="103"/>
      <c r="F35" s="107">
        <v>317084</v>
      </c>
      <c r="G35" s="102"/>
      <c r="H35" s="107">
        <f>+B35+F35</f>
        <v>416747</v>
      </c>
      <c r="I35" s="102"/>
      <c r="J35" s="102"/>
    </row>
    <row r="36" spans="1:10" s="106" customFormat="1" ht="16.5" x14ac:dyDescent="0.35">
      <c r="A36" s="128" t="s">
        <v>55</v>
      </c>
      <c r="B36" s="110">
        <f>SUM(B10:B35)</f>
        <v>30855999</v>
      </c>
      <c r="C36" s="110"/>
      <c r="D36" s="110">
        <f>SUM(D10:D35)</f>
        <v>235948</v>
      </c>
      <c r="E36" s="110"/>
      <c r="F36" s="110">
        <f>SUM(F10:F35)</f>
        <v>1420972</v>
      </c>
      <c r="G36" s="111"/>
      <c r="H36" s="110">
        <f>SUM(H10:H35)</f>
        <v>32276971</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110551</v>
      </c>
      <c r="E39" s="103"/>
      <c r="F39" s="103">
        <v>2043408</v>
      </c>
      <c r="G39" s="102"/>
      <c r="H39" s="103">
        <f t="shared" ref="H39:H47" si="0">+B39+F39</f>
        <v>11655308</v>
      </c>
      <c r="I39" s="102"/>
      <c r="J39" s="102"/>
    </row>
    <row r="40" spans="1:10" s="106" customFormat="1" x14ac:dyDescent="0.25">
      <c r="A40" s="102" t="s">
        <v>58</v>
      </c>
      <c r="B40" s="103">
        <v>513009</v>
      </c>
      <c r="C40" s="103"/>
      <c r="D40" s="103">
        <v>520</v>
      </c>
      <c r="E40" s="103"/>
      <c r="F40" s="103">
        <v>3722</v>
      </c>
      <c r="G40" s="102"/>
      <c r="H40" s="103">
        <f t="shared" si="0"/>
        <v>516731</v>
      </c>
      <c r="I40" s="102"/>
      <c r="J40" s="102"/>
    </row>
    <row r="41" spans="1:10" s="106" customFormat="1" x14ac:dyDescent="0.25">
      <c r="A41" s="102" t="s">
        <v>59</v>
      </c>
      <c r="B41" s="103">
        <v>2883205</v>
      </c>
      <c r="C41" s="103"/>
      <c r="D41" s="103">
        <v>16305</v>
      </c>
      <c r="E41" s="103"/>
      <c r="F41" s="103">
        <v>473631</v>
      </c>
      <c r="G41" s="102"/>
      <c r="H41" s="103">
        <f t="shared" si="0"/>
        <v>3356836</v>
      </c>
      <c r="I41" s="102"/>
      <c r="J41" s="102"/>
    </row>
    <row r="42" spans="1:10" s="106" customFormat="1" x14ac:dyDescent="0.25">
      <c r="A42" s="102" t="s">
        <v>60</v>
      </c>
      <c r="B42" s="103">
        <v>2162465</v>
      </c>
      <c r="C42" s="103"/>
      <c r="D42" s="103">
        <v>19443</v>
      </c>
      <c r="E42" s="103"/>
      <c r="F42" s="103">
        <v>434650</v>
      </c>
      <c r="G42" s="102"/>
      <c r="H42" s="103">
        <f t="shared" si="0"/>
        <v>2597115</v>
      </c>
      <c r="I42" s="102"/>
      <c r="J42" s="102"/>
    </row>
    <row r="43" spans="1:10" s="106" customFormat="1" x14ac:dyDescent="0.25">
      <c r="A43" s="102" t="s">
        <v>61</v>
      </c>
      <c r="B43" s="103">
        <v>5986423</v>
      </c>
      <c r="C43" s="103"/>
      <c r="D43" s="103">
        <v>38337</v>
      </c>
      <c r="E43" s="103"/>
      <c r="F43" s="103">
        <v>830691</v>
      </c>
      <c r="G43" s="102"/>
      <c r="H43" s="103">
        <f t="shared" si="0"/>
        <v>6817114</v>
      </c>
      <c r="I43" s="102"/>
      <c r="J43" s="102"/>
    </row>
    <row r="44" spans="1:10" s="106" customFormat="1" x14ac:dyDescent="0.25">
      <c r="A44" s="102" t="s">
        <v>62</v>
      </c>
      <c r="B44" s="103">
        <v>4186776</v>
      </c>
      <c r="C44" s="103"/>
      <c r="D44" s="103">
        <v>0</v>
      </c>
      <c r="E44" s="103"/>
      <c r="F44" s="103">
        <v>649086</v>
      </c>
      <c r="G44" s="102"/>
      <c r="H44" s="103">
        <f t="shared" si="0"/>
        <v>4835862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50792</v>
      </c>
      <c r="E46" s="103"/>
      <c r="F46" s="103">
        <v>-3208940</v>
      </c>
      <c r="G46" s="102"/>
      <c r="H46" s="103">
        <f t="shared" si="0"/>
        <v>1312733</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235948</v>
      </c>
      <c r="E48" s="103"/>
      <c r="F48" s="103">
        <f>SUM(F39:F47)</f>
        <v>1226248</v>
      </c>
      <c r="G48" s="102"/>
      <c r="H48" s="103">
        <f>SUM(H39:H47)</f>
        <v>31258750</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view="pageBreakPreview" topLeftCell="A7" zoomScale="60" zoomScaleNormal="100" workbookViewId="0">
      <selection activeCell="A81" sqref="A81"/>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February 29,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C73" sqref="C73"/>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February 29,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50" zoomScaleNormal="100" workbookViewId="0">
      <selection activeCell="A81" sqref="A81"/>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February 29,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44985</v>
      </c>
    </row>
    <row r="9" spans="1:11" x14ac:dyDescent="0.25">
      <c r="B9" s="22" t="s">
        <v>33</v>
      </c>
      <c r="C9" s="56"/>
      <c r="D9" s="23" t="s">
        <v>35</v>
      </c>
      <c r="E9" s="56"/>
      <c r="F9" s="22" t="s">
        <v>33</v>
      </c>
      <c r="G9" s="56"/>
      <c r="H9" s="24">
        <v>44985</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4000834.38</v>
      </c>
      <c r="F11" s="3">
        <f t="shared" ref="F11:F23" si="0">+(D11-B11)/B11+1</f>
        <v>0.74999997750469305</v>
      </c>
      <c r="H11" s="32">
        <f>+'Rev, Exp, Cha Unrestricted'!H10+'Rev, Exp, Cha Federal Restrict'!H10+'Rev, Exp, Cha State Restr '!H10+'Rev, Exp, Cha Local Restr '!H10+'Rev, Exp, Cha Debt Service'!H10</f>
        <v>2193900</v>
      </c>
      <c r="J11" s="3">
        <f>+(D11-H11)/H11+1</f>
        <v>1.8236174757281551</v>
      </c>
      <c r="K11" s="16" t="s">
        <v>111</v>
      </c>
    </row>
    <row r="12" spans="1:11" x14ac:dyDescent="0.25">
      <c r="A12" s="4" t="s">
        <v>92</v>
      </c>
      <c r="B12" s="25"/>
      <c r="C12" s="6"/>
      <c r="D12" s="32"/>
      <c r="F12" s="3"/>
      <c r="H12" s="32"/>
      <c r="J12" s="3"/>
    </row>
    <row r="13" spans="1:11" x14ac:dyDescent="0.25">
      <c r="A13" s="10" t="s">
        <v>93</v>
      </c>
      <c r="B13" s="5">
        <f>+'Rev, Exp, Cha Unrestricted'!B12</f>
        <v>803131</v>
      </c>
      <c r="C13" s="6"/>
      <c r="D13" s="5">
        <f>+'Rev, Exp, Cha Unrestricted'!D12</f>
        <v>803132</v>
      </c>
      <c r="F13" s="3">
        <f t="shared" si="0"/>
        <v>1.0000012451268847</v>
      </c>
      <c r="H13" s="5">
        <f>+'Rev, Exp, Cha Unrestricted'!H12</f>
        <v>745271.99</v>
      </c>
      <c r="J13" s="3">
        <f>+(D13-H13)/H13+1</f>
        <v>1.0776360990032645</v>
      </c>
      <c r="K13" s="16" t="s">
        <v>112</v>
      </c>
    </row>
    <row r="14" spans="1:11" x14ac:dyDescent="0.25">
      <c r="A14" s="10" t="s">
        <v>94</v>
      </c>
      <c r="B14" s="5">
        <f>+'Rev, Exp, Cha Unrestricted'!B13</f>
        <v>300757</v>
      </c>
      <c r="C14" s="6"/>
      <c r="D14" s="5">
        <f>+'Rev, Exp, Cha Unrestricted'!D13</f>
        <v>300755.73</v>
      </c>
      <c r="F14" s="3">
        <f t="shared" si="0"/>
        <v>0.99999577732189104</v>
      </c>
      <c r="H14" s="5">
        <f>+'Rev, Exp, Cha Unrestricted'!H13</f>
        <v>256132.37</v>
      </c>
      <c r="J14" s="3">
        <f>+(D14-H14)/H14+1</f>
        <v>1.1742199160535625</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13109391.09</v>
      </c>
      <c r="F16" s="3">
        <f t="shared" si="0"/>
        <v>0.95399348066898204</v>
      </c>
      <c r="H16" s="5">
        <f>+'Rev, Exp, Cha Unrestricted'!H15+'Rev, Exp, Cha Federal Restrict'!H15+'Rev, Exp, Cha State Restr '!H15+'Rev, Exp, Cha Local Restr '!H15+'Rev, Exp, Cha Debt Service'!H12</f>
        <v>12903821.949999999</v>
      </c>
      <c r="J16" s="3">
        <f>+(D16-H16)/H16+1</f>
        <v>1.0159308723257763</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2722826.89</v>
      </c>
      <c r="F17" s="3">
        <f t="shared" si="0"/>
        <v>0.95545831578799623</v>
      </c>
      <c r="H17" s="5">
        <f>+'Rev, Exp, Cha Unrestricted'!H16+'Rev, Exp, Cha Federal Restrict'!H16+'Rev, Exp, Cha State Restr '!H16+'Rev, Exp, Cha Local Restr '!H16+'Rev, Exp, Cha Debt Service'!H13</f>
        <v>2517706.85</v>
      </c>
      <c r="J17" s="3">
        <f>+(D17-H17)/H17+1</f>
        <v>1.0814709782435552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3460451.85</v>
      </c>
      <c r="F19" s="3">
        <f t="shared" si="0"/>
        <v>0.80925097465761575</v>
      </c>
      <c r="H19" s="5">
        <f>+'Rev, Exp, Cha Unrestricted'!H18+'Rev, Exp, Cha Federal Restrict'!H18+'Rev, Exp, Cha State Restr '!H18+'Rev, Exp, Cha Local Restr '!H18+'Rev, Exp, Cha Debt Service'!H15</f>
        <v>3288516.39</v>
      </c>
      <c r="J19" s="3">
        <f>+(D19-H19)/H19+1</f>
        <v>1.0522835952780518</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827686.7</v>
      </c>
      <c r="F20" s="3">
        <f t="shared" si="0"/>
        <v>0.5199641289974023</v>
      </c>
      <c r="H20" s="5">
        <f>+'Rev, Exp, Cha Unrestricted'!H19+'Rev, Exp, Cha Federal Restrict'!H19+'Rev, Exp, Cha State Restr '!H19+'Rev, Exp, Cha Local Restr '!H19+'Rev, Exp, Cha Debt Service'!H16</f>
        <v>697797.86</v>
      </c>
      <c r="J20" s="3">
        <f>+(D20-H20)/H20+1</f>
        <v>1.1861410695641859</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4091448.29</v>
      </c>
      <c r="F23" s="3">
        <f t="shared" si="0"/>
        <v>0.82069396303410469</v>
      </c>
      <c r="H23" s="5">
        <f>+'Rev, Exp, Cha Unrestricted'!H22+'Rev, Exp, Cha Federal Restrict'!H22+'Rev, Exp, Cha State Restr '!H22+'Rev, Exp, Cha Local Restr '!H22+'Rev, Exp, Cha Debt Service'!H19</f>
        <v>3770017.23</v>
      </c>
      <c r="J23" s="3">
        <f>+(D23-H23)/H23+1</f>
        <v>1.0852598384543723</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-196300.06</v>
      </c>
      <c r="F26" s="3">
        <f t="shared" ref="F26:F33" si="1">+(D26-B26)/B26+1</f>
        <v>0.65433353333333333</v>
      </c>
      <c r="H26" s="5">
        <f>+'Rev, Exp, Cha Unrestricted'!H25+'Rev, Exp, Cha Federal Restrict'!H25+'Rev, Exp, Cha State Restr '!H25+'Rev, Exp, Cha Local Restr '!H25+'Rev, Exp, Cha Debt Service'!H22</f>
        <v>-145736.35999999999</v>
      </c>
      <c r="J26" s="3">
        <f t="shared" ref="J26:J33" si="2">+(D26-H26)/H26+1</f>
        <v>1.3469532243017461</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356828.91</v>
      </c>
      <c r="F28" s="3">
        <f t="shared" si="1"/>
        <v>0.82377703953717085</v>
      </c>
      <c r="H28" s="5">
        <f>+'Rev, Exp, Cha Unrestricted'!H27+'Rev, Exp, Cha Federal Restrict'!H27+'Rev, Exp, Cha State Restr '!H27+'Rev, Exp, Cha Local Restr '!H27+'Rev, Exp, Cha Debt Service'!H24</f>
        <v>312606.18</v>
      </c>
      <c r="J28" s="3">
        <f t="shared" si="2"/>
        <v>1.1414646697003878</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312766.42000000004</v>
      </c>
      <c r="F30" s="3">
        <f t="shared" si="1"/>
        <v>0.39095655891290415</v>
      </c>
      <c r="H30" s="5">
        <f>+'Rev, Exp, Cha Unrestricted'!H28+'Rev, Exp, Cha Federal Restrict'!H28+'Rev, Exp, Cha State Restr '!H28+'Rev, Exp, Cha Local Restr '!H28+'Rev, Exp, Cha Debt Service'!H26</f>
        <v>180668.62</v>
      </c>
      <c r="J30" s="3">
        <f t="shared" si="2"/>
        <v>1.7311607295168361</v>
      </c>
      <c r="K30" s="16" t="s">
        <v>127</v>
      </c>
    </row>
    <row r="31" spans="1:13" x14ac:dyDescent="0.25">
      <c r="A31" s="4" t="s">
        <v>64</v>
      </c>
      <c r="B31" s="6">
        <f>+'Rev, Exp, Cha Auxiliary'!B13</f>
        <v>2447900</v>
      </c>
      <c r="C31" s="6"/>
      <c r="D31" s="5">
        <f>+'Rev, Exp, Cha Auxiliary'!D13</f>
        <v>1133267.69</v>
      </c>
      <c r="F31" s="3">
        <f t="shared" si="1"/>
        <v>0.46295505943870252</v>
      </c>
      <c r="H31" s="5">
        <f>+'Rev, Exp, Cha Auxiliary'!H13</f>
        <v>1161431.3600000001</v>
      </c>
      <c r="J31" s="3">
        <f t="shared" si="2"/>
        <v>0.97575089586008756</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56082.79</v>
      </c>
      <c r="F32" s="3">
        <f t="shared" si="1"/>
        <v>0.49260245937637248</v>
      </c>
      <c r="H32" s="5">
        <f>+'Rev, Exp, Cha Unrestricted'!H30+'Rev, Exp, Cha Federal Restrict'!H30+'Rev, Exp, Cha State Restr '!H30+'Rev, Exp, Cha Local Restr '!H30+'Rev, Exp, Cha Debt Service'!H28</f>
        <v>60602.67</v>
      </c>
      <c r="J32" s="3">
        <f t="shared" si="2"/>
        <v>0.92541780749924063</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5858913.5</v>
      </c>
      <c r="F33" s="3">
        <f t="shared" si="1"/>
        <v>1.7689123036475336</v>
      </c>
      <c r="H33" s="5">
        <f>+'Rev, Exp, Cha Unrestricted'!H31+'Rev, Exp, Cha Federal Restrict'!H31+'Rev, Exp, Cha State Restr '!H31+'Rev, Exp, Cha Local Restr '!H31+'Rev, Exp, Cha Debt Service'!H29</f>
        <v>5059091.9800000004</v>
      </c>
      <c r="J33" s="3">
        <f t="shared" si="2"/>
        <v>1.1580958644677577</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3487185.37</v>
      </c>
      <c r="F35" s="3">
        <f t="shared" ref="F35:F38" si="3">+(D35-B35)/B35+1</f>
        <v>1.1499283666015505</v>
      </c>
      <c r="H35" s="5">
        <f>+'Rev, Exp, Cha Unrestricted'!H33+'Rev, Exp, Cha Federal Restrict'!H33+'Rev, Exp, Cha State Restr '!H33+'Rev, Exp, Cha Local Restr '!H33+'Rev, Exp, Cha Debt Service'!H31</f>
        <v>1633402.94</v>
      </c>
      <c r="J35" s="3">
        <f t="shared" ref="J35:J38" si="4">+(D35-H35)/H35+1</f>
        <v>2.1349204685526035</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260322.21</v>
      </c>
      <c r="F36" s="3">
        <f t="shared" si="3"/>
        <v>1.1869677681164705</v>
      </c>
      <c r="H36" s="5">
        <f>+'Rev, Exp, Cha Unrestricted'!H34+'Rev, Exp, Cha Federal Restrict'!H34+'Rev, Exp, Cha State Restr '!H34+'Rev, Exp, Cha Local Restr '!H34+'Rev, Exp, Cha Debt Service'!H32</f>
        <v>135120.64000000001</v>
      </c>
      <c r="J36" s="3">
        <f t="shared" si="4"/>
        <v>1.9265910078578665</v>
      </c>
      <c r="K36" s="16" t="s">
        <v>141</v>
      </c>
    </row>
    <row r="37" spans="1:11" ht="16.5" x14ac:dyDescent="0.35">
      <c r="A37" s="10" t="s">
        <v>54</v>
      </c>
      <c r="B37" s="26">
        <f>+'Rev, Exp, Cha Unrestricted'!B35+'Rev, Exp, Cha Federal Restrict'!B35+'Rev, Exp, Cha State Restr '!B35+'Rev, Exp, Cha Local Restr '!B35+'Rev, Exp, Cha Debt Service'!B33</f>
        <v>462633</v>
      </c>
      <c r="C37" s="6"/>
      <c r="D37" s="8">
        <f>+'Rev, Exp, Cha Unrestricted'!D35+'Rev, Exp, Cha Federal Restrict'!D35+'Rev, Exp, Cha State Restr '!D35+'Rev, Exp, Cha Local Restr '!D35+'Rev, Exp, Cha Debt Service'!D33</f>
        <v>541854.53</v>
      </c>
      <c r="F37" s="3">
        <f t="shared" si="3"/>
        <v>1.1712405513657695</v>
      </c>
      <c r="H37" s="8">
        <f>+'Rev, Exp, Cha Unrestricted'!H35+'Rev, Exp, Cha Federal Restrict'!H35+'Rev, Exp, Cha State Restr '!H35+'Rev, Exp, Cha Local Restr '!H35+'Rev, Exp, Cha Debt Service'!H33</f>
        <v>107763.64000000001</v>
      </c>
      <c r="J37" s="3">
        <f t="shared" si="4"/>
        <v>5.0281758299923789</v>
      </c>
      <c r="K37" s="16" t="s">
        <v>142</v>
      </c>
    </row>
    <row r="38" spans="1:11" ht="16.5" x14ac:dyDescent="0.35">
      <c r="A38" s="56" t="s">
        <v>55</v>
      </c>
      <c r="B38" s="26">
        <f>SUM(B11:B37)</f>
        <v>44184517</v>
      </c>
      <c r="C38" s="6"/>
      <c r="D38" s="8">
        <f>SUM(D11:D37)</f>
        <v>41127448.290000007</v>
      </c>
      <c r="F38" s="3">
        <f t="shared" si="3"/>
        <v>0.93081131315750276</v>
      </c>
      <c r="H38" s="8">
        <f>SUM(H11:H37)</f>
        <v>34878116.310000002</v>
      </c>
      <c r="J38" s="3">
        <f t="shared" si="4"/>
        <v>1.1791763042606818</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12553063</v>
      </c>
      <c r="C41" s="6"/>
      <c r="D41" s="5">
        <f>+'Rev, Exp, Cha Unrestricted'!D39+'Rev, Exp, Cha Federal Restrict'!D39+'Rev, Exp, Cha State Restr '!D39+'Rev, Exp, Cha Local Restr '!D39</f>
        <v>7331152.8399999999</v>
      </c>
      <c r="F41" s="3">
        <f t="shared" ref="F41:F52" si="5">+(D41-B41)/B41+1</f>
        <v>0.58401306836427092</v>
      </c>
      <c r="H41" s="5">
        <f>+'Rev, Exp, Cha Unrestricted'!H39+'Rev, Exp, Cha Federal Restrict'!H39+'Rev, Exp, Cha State Restr '!H39+'Rev, Exp, Cha Local Restr '!H39</f>
        <v>6680810.3700000001</v>
      </c>
      <c r="J41" s="3">
        <f t="shared" ref="J41:J50" si="6">+(D41-H41)/H41+1</f>
        <v>1.097344848002324</v>
      </c>
      <c r="K41" s="16" t="s">
        <v>143</v>
      </c>
    </row>
    <row r="42" spans="1:11" x14ac:dyDescent="0.25">
      <c r="A42" s="4" t="s">
        <v>58</v>
      </c>
      <c r="B42" s="6">
        <f>+'Rev, Exp, Cha Unrestricted'!B40+'Rev, Exp, Cha Federal Restrict'!B40+'Rev, Exp, Cha State Restr '!B40+'Rev, Exp, Cha Local Restr '!B40</f>
        <v>516731</v>
      </c>
      <c r="C42" s="6"/>
      <c r="D42" s="5">
        <f>+'Rev, Exp, Cha Unrestricted'!D40+'Rev, Exp, Cha Federal Restrict'!D40+'Rev, Exp, Cha State Restr '!D40+'Rev, Exp, Cha Local Restr '!D40</f>
        <v>139807.14000000001</v>
      </c>
      <c r="F42" s="3">
        <f t="shared" si="5"/>
        <v>0.27056077533571632</v>
      </c>
      <c r="H42" s="5">
        <f>+'Rev, Exp, Cha Unrestricted'!H40+'Rev, Exp, Cha Federal Restrict'!H40+'Rev, Exp, Cha State Restr '!H40+'Rev, Exp, Cha Local Restr '!H40</f>
        <v>82898.17</v>
      </c>
      <c r="J42" s="3">
        <f t="shared" si="6"/>
        <v>1.6864924762512854</v>
      </c>
      <c r="K42" s="16" t="s">
        <v>146</v>
      </c>
    </row>
    <row r="43" spans="1:11" x14ac:dyDescent="0.25">
      <c r="A43" s="4" t="s">
        <v>59</v>
      </c>
      <c r="B43" s="6">
        <f>+'Rev, Exp, Cha Unrestricted'!B41+'Rev, Exp, Cha Federal Restrict'!B41+'Rev, Exp, Cha State Restr '!B41+'Rev, Exp, Cha Local Restr '!B41</f>
        <v>3366877</v>
      </c>
      <c r="C43" s="6"/>
      <c r="D43" s="5">
        <f>+'Rev, Exp, Cha Unrestricted'!D41+'Rev, Exp, Cha Federal Restrict'!D41+'Rev, Exp, Cha State Restr '!D41+'Rev, Exp, Cha Local Restr '!D41</f>
        <v>1746311.5</v>
      </c>
      <c r="F43" s="3">
        <f t="shared" si="5"/>
        <v>0.5186739818532129</v>
      </c>
      <c r="H43" s="5">
        <f>+'Rev, Exp, Cha Unrestricted'!H41+'Rev, Exp, Cha Federal Restrict'!H41+'Rev, Exp, Cha State Restr '!H41+'Rev, Exp, Cha Local Restr '!H41</f>
        <v>1896225.99</v>
      </c>
      <c r="J43" s="3">
        <f t="shared" si="6"/>
        <v>0.9209405994904647</v>
      </c>
      <c r="K43" s="16" t="s">
        <v>151</v>
      </c>
    </row>
    <row r="44" spans="1:11" x14ac:dyDescent="0.25">
      <c r="A44" s="4" t="s">
        <v>60</v>
      </c>
      <c r="B44" s="6">
        <f>+'Rev, Exp, Cha Unrestricted'!B42+'Rev, Exp, Cha Federal Restrict'!B42+'Rev, Exp, Cha State Restr '!B42+'Rev, Exp, Cha Local Restr '!B42</f>
        <v>3025393</v>
      </c>
      <c r="C44" s="6"/>
      <c r="D44" s="5">
        <f>+'Rev, Exp, Cha Unrestricted'!D42+'Rev, Exp, Cha Federal Restrict'!D42+'Rev, Exp, Cha State Restr '!D42+'Rev, Exp, Cha Local Restr '!D42</f>
        <v>1789510.05</v>
      </c>
      <c r="F44" s="3">
        <f t="shared" si="5"/>
        <v>0.59149672455776825</v>
      </c>
      <c r="H44" s="5">
        <f>+'Rev, Exp, Cha Unrestricted'!H42+'Rev, Exp, Cha Federal Restrict'!H42+'Rev, Exp, Cha State Restr '!H42+'Rev, Exp, Cha Local Restr '!H42</f>
        <v>1761030.61</v>
      </c>
      <c r="J44" s="3">
        <f t="shared" si="6"/>
        <v>1.0161720300818622</v>
      </c>
      <c r="K44" s="16" t="s">
        <v>155</v>
      </c>
    </row>
    <row r="45" spans="1:11" x14ac:dyDescent="0.25">
      <c r="A45" s="4" t="s">
        <v>61</v>
      </c>
      <c r="B45" s="6">
        <f>+'Rev, Exp, Cha Unrestricted'!B43+'Rev, Exp, Cha Federal Restrict'!B43+'Rev, Exp, Cha State Restr '!B43+'Rev, Exp, Cha Local Restr '!B43</f>
        <v>8664994</v>
      </c>
      <c r="C45" s="6"/>
      <c r="D45" s="5">
        <f>+'Rev, Exp, Cha Unrestricted'!D43+'Rev, Exp, Cha Federal Restrict'!D43+'Rev, Exp, Cha State Restr '!D43+'Rev, Exp, Cha Local Restr '!D43</f>
        <v>5967582.290000001</v>
      </c>
      <c r="F45" s="3">
        <f t="shared" si="5"/>
        <v>0.68870010642823309</v>
      </c>
      <c r="H45" s="5">
        <f>+'Rev, Exp, Cha Unrestricted'!H43+'Rev, Exp, Cha Federal Restrict'!H43+'Rev, Exp, Cha State Restr '!H43+'Rev, Exp, Cha Local Restr '!H43</f>
        <v>3588842.9099999997</v>
      </c>
      <c r="J45" s="3">
        <f t="shared" si="6"/>
        <v>1.6628151300163765</v>
      </c>
      <c r="K45" s="16" t="s">
        <v>160</v>
      </c>
    </row>
    <row r="46" spans="1:11" x14ac:dyDescent="0.25">
      <c r="A46" s="4" t="s">
        <v>62</v>
      </c>
      <c r="B46" s="6">
        <f>+'Rev, Exp, Cha Unrestricted'!B44+'Rev, Exp, Cha Federal Restrict'!B44+'Rev, Exp, Cha State Restr '!B44+'Rev, Exp, Cha Local Restr '!B44</f>
        <v>4835862</v>
      </c>
      <c r="C46" s="6"/>
      <c r="D46" s="5">
        <f>+'Rev, Exp, Cha Unrestricted'!D44+'Rev, Exp, Cha Federal Restrict'!D44+'Rev, Exp, Cha State Restr '!D44+'Rev, Exp, Cha Local Restr '!D44</f>
        <v>2678723.4300000002</v>
      </c>
      <c r="F46" s="3">
        <f t="shared" si="5"/>
        <v>0.55392884040115287</v>
      </c>
      <c r="H46" s="5">
        <f>+'Rev, Exp, Cha Unrestricted'!H44+'Rev, Exp, Cha Federal Restrict'!H44+'Rev, Exp, Cha State Restr '!H44+'Rev, Exp, Cha Local Restr '!H44</f>
        <v>2362631.87</v>
      </c>
      <c r="J46" s="3">
        <f t="shared" si="6"/>
        <v>1.1337879015404968</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6360042.29</v>
      </c>
      <c r="F47" s="3">
        <f t="shared" si="5"/>
        <v>1.7105974275582945</v>
      </c>
      <c r="H47" s="5">
        <f>+'Rev, Exp, Cha Unrestricted'!H45+'Rev, Exp, Cha Federal Restrict'!H45+'Rev, Exp, Cha State Restr '!H45+'Rev, Exp, Cha Local Restr '!H45</f>
        <v>5469395.6500000004</v>
      </c>
      <c r="J47" s="3">
        <f t="shared" si="6"/>
        <v>1.1628418744948539</v>
      </c>
      <c r="K47" s="16" t="s">
        <v>183</v>
      </c>
    </row>
    <row r="48" spans="1:11" x14ac:dyDescent="0.25">
      <c r="A48" s="4" t="s">
        <v>64</v>
      </c>
      <c r="B48" s="6">
        <f>+'Rev, Exp, Cha Auxiliary'!B30</f>
        <v>3024121</v>
      </c>
      <c r="C48" s="6"/>
      <c r="D48" s="5">
        <f>+'Rev, Exp, Cha Auxiliary'!D30</f>
        <v>1429657.77</v>
      </c>
      <c r="F48" s="3">
        <f t="shared" si="5"/>
        <v>0.47275151027356377</v>
      </c>
      <c r="H48" s="5">
        <f>+'Rev, Exp, Cha Auxiliary'!H30</f>
        <v>1449001.64</v>
      </c>
      <c r="J48" s="3">
        <f t="shared" si="6"/>
        <v>0.98665020834621009</v>
      </c>
      <c r="K48" s="16" t="s">
        <v>189</v>
      </c>
    </row>
    <row r="49" spans="1:11" x14ac:dyDescent="0.25">
      <c r="A49" s="4" t="s">
        <v>76</v>
      </c>
      <c r="B49" s="6">
        <f>+'Rev, Exp, Cha Unrestricted'!B47+'Rev, Exp, Cha Federal Restrict'!B47+'Rev, Exp, Cha State Restr '!B47+'Rev, Exp, Cha Local Restr '!B47</f>
        <v>1312733</v>
      </c>
      <c r="C49" s="6"/>
      <c r="D49" s="5">
        <f>+'Rev, Exp, Cha Unrestricted'!D47+'Rev, Exp, Cha Federal Restrict'!D47+'Rev, Exp, Cha State Restr '!D47+'Rev, Exp, Cha Local Restr '!D47</f>
        <v>697947.4</v>
      </c>
      <c r="F49" s="3">
        <f t="shared" si="5"/>
        <v>0.53167506263649966</v>
      </c>
      <c r="H49" s="5">
        <f>+'Rev, Exp, Cha Unrestricted'!H47+'Rev, Exp, Cha Federal Restrict'!H47+'Rev, Exp, Cha State Restr '!H47+'Rev, Exp, Cha Local Restr '!H47</f>
        <v>924127.02</v>
      </c>
      <c r="J49" s="3">
        <f t="shared" si="6"/>
        <v>0.75525050658079451</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44076609</v>
      </c>
      <c r="C52" s="6"/>
      <c r="D52" s="8">
        <f>SUM(D41:D51)</f>
        <v>28590810.609999996</v>
      </c>
      <c r="F52" s="3">
        <f t="shared" si="5"/>
        <v>0.64866175639782075</v>
      </c>
      <c r="H52" s="8">
        <f>SUM(H41:H51)</f>
        <v>24499757.98</v>
      </c>
      <c r="J52" s="3">
        <f t="shared" ref="J52" si="7">+(D52-H52)/H52+1</f>
        <v>1.1669833895232624</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241793.04</v>
      </c>
      <c r="F55" s="3">
        <f t="shared" ref="F55:F56" si="8">+(D55-B55)/B55+1</f>
        <v>0.72373190618153083</v>
      </c>
      <c r="H55" s="5">
        <f>+'Rev, Exp, Cha Unrestricted'!H53+'Rev, Exp, Cha Federal Restrict'!H52+'Rev, Exp, Cha State Restr '!H52+'Rev, Exp, Cha Local Restr '!H52+'Rev, Exp, Cha Auxiliary'!H33+'Rev, Exp, Cha Debt Service'!H43</f>
        <v>245743.53</v>
      </c>
      <c r="J55" s="3">
        <f t="shared" ref="J55:J56" si="9">+(D55-H55)/H55+1</f>
        <v>0.98392433770280752</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-683789.4</v>
      </c>
      <c r="F56" s="3">
        <f t="shared" si="8"/>
        <v>1.5470348416289594</v>
      </c>
      <c r="H56" s="8">
        <f>+'Rev, Exp, Cha Unrestricted'!H54+'Rev, Exp, Cha Federal Restrict'!H53+'Rev, Exp, Cha State Restr '!H53+'Rev, Exp, Cha Local Restr '!H53+'Rev, Exp, Cha Debt Service'!H44</f>
        <v>-687741.72</v>
      </c>
      <c r="J56" s="3">
        <f t="shared" si="9"/>
        <v>0.99425319144518387</v>
      </c>
    </row>
    <row r="57" spans="1:11" ht="16.5" x14ac:dyDescent="0.35">
      <c r="A57" s="56" t="s">
        <v>55</v>
      </c>
      <c r="B57" s="26">
        <f>SUM(B55:B56)</f>
        <v>-107908</v>
      </c>
      <c r="C57" s="6"/>
      <c r="D57" s="8">
        <f>SUM(D55:D56)</f>
        <v>-441996.36</v>
      </c>
      <c r="F57" s="3"/>
      <c r="G57" s="26">
        <f>SUM(G55:G56)</f>
        <v>0</v>
      </c>
      <c r="H57" s="8">
        <f>SUM(H55:H56)</f>
        <v>-441998.18999999994</v>
      </c>
      <c r="J57" s="3"/>
    </row>
    <row r="58" spans="1:11" ht="3.95" customHeight="1" x14ac:dyDescent="0.25">
      <c r="B58" s="6"/>
      <c r="C58" s="6"/>
      <c r="D58" s="6"/>
      <c r="F58" s="3"/>
      <c r="H58" s="6"/>
      <c r="J58" s="3"/>
    </row>
    <row r="59" spans="1:11" ht="16.5" x14ac:dyDescent="0.35">
      <c r="A59" s="4" t="s">
        <v>397</v>
      </c>
      <c r="B59" s="34">
        <f>+B38-B52+B57</f>
        <v>0</v>
      </c>
      <c r="C59" s="6"/>
      <c r="D59" s="9">
        <f>+D38-D52+D57</f>
        <v>12094641.320000011</v>
      </c>
      <c r="F59" s="3"/>
      <c r="H59" s="9">
        <f>+H38-H52+H57</f>
        <v>9936360.1400000025</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view="pageBreakPreview" zoomScale="60" zoomScaleNormal="100" workbookViewId="0">
      <selection activeCell="A81" sqref="A81"/>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February 29,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view="pageBreakPreview" topLeftCell="A41" zoomScale="60" zoomScaleNormal="100" workbookViewId="0">
      <selection activeCell="A81" sqref="A81"/>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February 29,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44985</v>
      </c>
      <c r="K7" s="11"/>
    </row>
    <row r="8" spans="1:11" s="1" customFormat="1" x14ac:dyDescent="0.25">
      <c r="A8" s="4"/>
      <c r="B8" s="22" t="s">
        <v>33</v>
      </c>
      <c r="C8" s="80"/>
      <c r="D8" s="28" t="s">
        <v>35</v>
      </c>
      <c r="E8" s="87"/>
      <c r="F8" s="22" t="s">
        <v>33</v>
      </c>
      <c r="G8" s="87"/>
      <c r="H8" s="24">
        <f>+'Revenues, Expenditures, Changes'!H9</f>
        <v>44985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4000834.38</v>
      </c>
      <c r="E10" s="4"/>
      <c r="F10" s="3">
        <f>+(D10-B10)/B10+1</f>
        <v>0.74999997750469305</v>
      </c>
      <c r="G10" s="4"/>
      <c r="H10" s="32">
        <v>2193900</v>
      </c>
      <c r="I10" s="4"/>
      <c r="J10" s="3">
        <f t="shared" ref="J10" si="0">+(D10-H10)/H10+1</f>
        <v>1.8236174757281551</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803131</v>
      </c>
      <c r="C12" s="6"/>
      <c r="D12" s="5">
        <v>803132</v>
      </c>
      <c r="E12" s="4"/>
      <c r="F12" s="3">
        <f>+(D12-B12)/B12+1</f>
        <v>1.0000012451268847</v>
      </c>
      <c r="G12" s="4"/>
      <c r="H12" s="5">
        <v>745271.99</v>
      </c>
      <c r="I12" s="4"/>
      <c r="J12" s="3">
        <f t="shared" ref="J12:J13" si="1">+(D12-H12)/H12+1</f>
        <v>1.0776360990032645</v>
      </c>
      <c r="K12" s="11"/>
    </row>
    <row r="13" spans="1:11" s="1" customFormat="1" x14ac:dyDescent="0.25">
      <c r="A13" s="10" t="s">
        <v>94</v>
      </c>
      <c r="B13" s="6">
        <v>300757</v>
      </c>
      <c r="C13" s="6"/>
      <c r="D13" s="5">
        <v>300755.73</v>
      </c>
      <c r="E13" s="4"/>
      <c r="F13" s="3">
        <f>+(D13-B13)/B13+1</f>
        <v>0.99999577732189104</v>
      </c>
      <c r="G13" s="4"/>
      <c r="H13" s="5">
        <v>256132.37</v>
      </c>
      <c r="I13" s="4"/>
      <c r="J13" s="3">
        <f t="shared" si="1"/>
        <v>1.1742199160535625</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13109391.09</v>
      </c>
      <c r="E15" s="4"/>
      <c r="F15" s="3">
        <f>+(D15-B15)/B15+1</f>
        <v>0.95399348066898204</v>
      </c>
      <c r="G15" s="4"/>
      <c r="H15" s="5">
        <v>12903821.949999999</v>
      </c>
      <c r="I15" s="4"/>
      <c r="J15" s="3">
        <f t="shared" ref="J15" si="2">+(D15-H15)/H15+1</f>
        <v>1.0159308723257763</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3460451.85</v>
      </c>
      <c r="E18" s="4"/>
      <c r="F18" s="3">
        <f>+(D18-B18)/B18+1</f>
        <v>0.80925097465761575</v>
      </c>
      <c r="G18" s="4"/>
      <c r="H18" s="5">
        <v>3288516.39</v>
      </c>
      <c r="I18" s="4"/>
      <c r="J18" s="3">
        <f t="shared" ref="J18:J22" si="3">+(D18-H18)/H18+1</f>
        <v>1.0522835952780518</v>
      </c>
      <c r="K18" s="11"/>
    </row>
    <row r="19" spans="1:11" s="1" customFormat="1" x14ac:dyDescent="0.25">
      <c r="A19" s="10" t="s">
        <v>43</v>
      </c>
      <c r="B19" s="6">
        <f>515915+196345+215000+35000+122400+496200+10955</f>
        <v>1591815</v>
      </c>
      <c r="C19" s="6"/>
      <c r="D19" s="5">
        <f>954761.7-127075</f>
        <v>827686.7</v>
      </c>
      <c r="E19" s="4"/>
      <c r="F19" s="3">
        <f>+(D19-B19)/B19+1</f>
        <v>0.5199641289974023</v>
      </c>
      <c r="G19" s="4"/>
      <c r="H19" s="5">
        <v>697797.86</v>
      </c>
      <c r="I19" s="4"/>
      <c r="J19" s="3">
        <f t="shared" si="3"/>
        <v>1.1861410695641859</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4091448.29</v>
      </c>
      <c r="E22" s="4"/>
      <c r="F22" s="3">
        <f>+(D22-B22)/B22+1</f>
        <v>0.82069396303410469</v>
      </c>
      <c r="G22" s="4"/>
      <c r="H22" s="5">
        <v>3770017.23</v>
      </c>
      <c r="I22" s="4"/>
      <c r="J22" s="3">
        <f t="shared" si="3"/>
        <v>1.0852598384543723</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-196300.06</v>
      </c>
      <c r="E25" s="4"/>
      <c r="F25" s="3">
        <f>+(D25-B25)/B25+1</f>
        <v>0.65433353333333333</v>
      </c>
      <c r="G25" s="4"/>
      <c r="H25" s="5">
        <v>-145736.35999999999</v>
      </c>
      <c r="I25" s="4"/>
      <c r="J25" s="3">
        <f t="shared" ref="J25:J30" si="4">+(D25-H25)/H25+1</f>
        <v>1.3469532243017461</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356828.91</v>
      </c>
      <c r="E27" s="4"/>
      <c r="F27" s="3">
        <f>+(D27-B27)/B27+1</f>
        <v>0.82377703953717085</v>
      </c>
      <c r="G27" s="4"/>
      <c r="H27" s="5">
        <v>312606.18</v>
      </c>
      <c r="I27" s="4"/>
      <c r="J27" s="3">
        <f t="shared" si="4"/>
        <v>1.1414646697003878</v>
      </c>
      <c r="K27" s="11"/>
    </row>
    <row r="28" spans="1:11" s="1" customFormat="1" x14ac:dyDescent="0.25">
      <c r="A28" s="4" t="s">
        <v>47</v>
      </c>
      <c r="B28" s="6">
        <v>800000</v>
      </c>
      <c r="C28" s="6"/>
      <c r="D28" s="5">
        <v>312700.94</v>
      </c>
      <c r="E28" s="4"/>
      <c r="F28" s="3">
        <f>+(D28-B28)/B28+1</f>
        <v>0.39087617500000005</v>
      </c>
      <c r="G28" s="4"/>
      <c r="H28" s="5">
        <v>180665</v>
      </c>
      <c r="I28" s="4"/>
      <c r="J28" s="3">
        <f t="shared" si="4"/>
        <v>1.7308329781640053</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55525.96</v>
      </c>
      <c r="E30" s="4"/>
      <c r="F30" s="3">
        <f>+(D30-B30)/B30+1</f>
        <v>0.48771155028546331</v>
      </c>
      <c r="G30" s="4"/>
      <c r="H30" s="5">
        <v>60602.67</v>
      </c>
      <c r="I30" s="4"/>
      <c r="J30" s="3">
        <f t="shared" si="4"/>
        <v>0.91622959846488616</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416747</v>
      </c>
      <c r="C35" s="6"/>
      <c r="D35" s="33">
        <v>470240.4</v>
      </c>
      <c r="E35" s="4"/>
      <c r="F35" s="3">
        <f>+(D35-B35)/B35+1</f>
        <v>1.1283594123053076</v>
      </c>
      <c r="G35" s="4"/>
      <c r="H35" s="33">
        <v>72668.740000000005</v>
      </c>
      <c r="I35" s="4"/>
      <c r="J35" s="3">
        <f t="shared" ref="J35:J36" si="8">+(D35-H35)/H35+1</f>
        <v>6.4710135334670724</v>
      </c>
      <c r="K35" s="38"/>
    </row>
    <row r="36" spans="1:11" s="1" customFormat="1" ht="16.5" x14ac:dyDescent="0.35">
      <c r="A36" s="80" t="s">
        <v>55</v>
      </c>
      <c r="B36" s="26">
        <f>SUM(B10:B35)</f>
        <v>32276971</v>
      </c>
      <c r="C36" s="6"/>
      <c r="D36" s="8">
        <f>SUM(D10:D35)</f>
        <v>27592696.190000001</v>
      </c>
      <c r="E36" s="4"/>
      <c r="F36" s="3">
        <f>+(D36-B36)/B36+1</f>
        <v>0.85487254023929327</v>
      </c>
      <c r="G36" s="4"/>
      <c r="H36" s="8">
        <f>SUM(H10:H35)</f>
        <v>24336264.02</v>
      </c>
      <c r="I36" s="4"/>
      <c r="J36" s="3">
        <f t="shared" si="8"/>
        <v>1.1338098636390452</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11655308</v>
      </c>
      <c r="C39" s="6"/>
      <c r="D39" s="90">
        <v>6279892.8499999996</v>
      </c>
      <c r="E39" s="4"/>
      <c r="F39" s="3">
        <f t="shared" ref="F39:F49" si="9">+(D39-B39)/B39+1</f>
        <v>0.53880110675753912</v>
      </c>
      <c r="G39" s="4"/>
      <c r="H39" s="90">
        <v>5657318.4900000002</v>
      </c>
      <c r="I39" s="4"/>
      <c r="J39" s="3">
        <f t="shared" ref="J39:J50" si="10">+(D39-H39)/H39+1</f>
        <v>1.110047606670983</v>
      </c>
      <c r="K39" s="11"/>
    </row>
    <row r="40" spans="1:11" s="1" customFormat="1" x14ac:dyDescent="0.25">
      <c r="A40" s="4" t="s">
        <v>58</v>
      </c>
      <c r="B40" s="6">
        <v>516731</v>
      </c>
      <c r="C40" s="6"/>
      <c r="D40" s="90">
        <v>139807.14000000001</v>
      </c>
      <c r="E40" s="4"/>
      <c r="F40" s="3">
        <f t="shared" si="9"/>
        <v>0.27056077533571632</v>
      </c>
      <c r="G40" s="4"/>
      <c r="H40" s="90">
        <v>82898.17</v>
      </c>
      <c r="I40" s="4"/>
      <c r="J40" s="3">
        <f t="shared" si="10"/>
        <v>1.6864924762512854</v>
      </c>
      <c r="K40" s="11"/>
    </row>
    <row r="41" spans="1:11" s="1" customFormat="1" x14ac:dyDescent="0.25">
      <c r="A41" s="4" t="s">
        <v>59</v>
      </c>
      <c r="B41" s="6">
        <v>3356836</v>
      </c>
      <c r="C41" s="6"/>
      <c r="D41" s="90">
        <v>1735502.74</v>
      </c>
      <c r="E41" s="4"/>
      <c r="F41" s="3">
        <f t="shared" si="9"/>
        <v>0.5170055194832277</v>
      </c>
      <c r="G41" s="4"/>
      <c r="H41" s="90">
        <v>1716555.5</v>
      </c>
      <c r="I41" s="4"/>
      <c r="J41" s="3">
        <f t="shared" si="10"/>
        <v>1.011037941971582</v>
      </c>
      <c r="K41" s="11"/>
    </row>
    <row r="42" spans="1:11" s="1" customFormat="1" x14ac:dyDescent="0.25">
      <c r="A42" s="4" t="s">
        <v>60</v>
      </c>
      <c r="B42" s="6">
        <v>2597115</v>
      </c>
      <c r="C42" s="6"/>
      <c r="D42" s="90">
        <v>1292234.76</v>
      </c>
      <c r="E42" s="4"/>
      <c r="F42" s="3">
        <f t="shared" si="9"/>
        <v>0.49756547553727892</v>
      </c>
      <c r="G42" s="4"/>
      <c r="H42" s="90">
        <v>1324462.6200000001</v>
      </c>
      <c r="I42" s="4"/>
      <c r="J42" s="3">
        <f t="shared" si="10"/>
        <v>0.97566721815070923</v>
      </c>
      <c r="K42" s="11"/>
    </row>
    <row r="43" spans="1:11" s="1" customFormat="1" x14ac:dyDescent="0.25">
      <c r="A43" s="4" t="s">
        <v>61</v>
      </c>
      <c r="B43" s="6">
        <v>6817114</v>
      </c>
      <c r="C43" s="6"/>
      <c r="D43" s="90">
        <v>3857010.98</v>
      </c>
      <c r="E43" s="4"/>
      <c r="F43" s="3">
        <f t="shared" si="9"/>
        <v>0.56578355298151095</v>
      </c>
      <c r="G43" s="4"/>
      <c r="H43" s="90">
        <v>3518144.9</v>
      </c>
      <c r="I43" s="4"/>
      <c r="J43" s="3">
        <f t="shared" si="10"/>
        <v>1.0963195347639036</v>
      </c>
      <c r="K43" s="11"/>
    </row>
    <row r="44" spans="1:11" s="1" customFormat="1" x14ac:dyDescent="0.25">
      <c r="A44" s="4" t="s">
        <v>62</v>
      </c>
      <c r="B44" s="6">
        <v>4835862</v>
      </c>
      <c r="C44" s="6"/>
      <c r="D44" s="90">
        <v>2678723.4300000002</v>
      </c>
      <c r="E44" s="4"/>
      <c r="F44" s="3">
        <f t="shared" si="9"/>
        <v>0.55392884040115287</v>
      </c>
      <c r="G44" s="4"/>
      <c r="H44" s="90">
        <v>2362631.87</v>
      </c>
      <c r="I44" s="4"/>
      <c r="J44" s="3">
        <f t="shared" si="10"/>
        <v>1.1337879015404968</v>
      </c>
      <c r="K44" s="11"/>
    </row>
    <row r="45" spans="1:11" s="1" customFormat="1" x14ac:dyDescent="0.25">
      <c r="A45" s="4" t="s">
        <v>63</v>
      </c>
      <c r="B45" s="6">
        <v>158000</v>
      </c>
      <c r="C45" s="6"/>
      <c r="D45" s="90">
        <v>110125.75</v>
      </c>
      <c r="E45" s="4"/>
      <c r="F45" s="3">
        <f t="shared" si="9"/>
        <v>0.69699841772151894</v>
      </c>
      <c r="G45" s="4"/>
      <c r="H45" s="90">
        <v>71368.22</v>
      </c>
      <c r="I45" s="4"/>
      <c r="J45" s="3">
        <f t="shared" si="10"/>
        <v>1.54306426585951</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1312733</v>
      </c>
      <c r="C47" s="6"/>
      <c r="D47" s="5">
        <v>697947.4</v>
      </c>
      <c r="E47" s="4"/>
      <c r="F47" s="3">
        <f t="shared" si="9"/>
        <v>0.53167506263649966</v>
      </c>
      <c r="G47" s="4"/>
      <c r="H47" s="5">
        <v>924127.02</v>
      </c>
      <c r="I47" s="4"/>
      <c r="J47" s="3">
        <f t="shared" si="10"/>
        <v>0.75525050658079451</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31258750</v>
      </c>
      <c r="C50" s="6"/>
      <c r="D50" s="8">
        <f>SUM(D39:D49)</f>
        <v>16791245.050000001</v>
      </c>
      <c r="E50" s="4"/>
      <c r="F50" s="3">
        <f>+(D50-B50)/B50+1</f>
        <v>0.53716943415843565</v>
      </c>
      <c r="G50" s="4"/>
      <c r="H50" s="8">
        <f>SUM(H39:H49)</f>
        <v>15657506.790000001</v>
      </c>
      <c r="I50" s="4"/>
      <c r="J50" s="3">
        <f t="shared" si="10"/>
        <v>1.072408607270992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-683789.4</v>
      </c>
      <c r="E54" s="4"/>
      <c r="F54" s="3">
        <f>+(D54-B54)/B54+1</f>
        <v>1.5470348416289594</v>
      </c>
      <c r="G54" s="4"/>
      <c r="H54" s="33">
        <v>-687741.72</v>
      </c>
      <c r="I54" s="4"/>
      <c r="J54" s="3">
        <f t="shared" ref="J54:J55" si="12">+(D54-H54)/H54+1</f>
        <v>0.99425319144518387</v>
      </c>
      <c r="K54" s="11"/>
    </row>
    <row r="55" spans="1:11" s="1" customFormat="1" ht="16.5" x14ac:dyDescent="0.35">
      <c r="A55" s="80" t="s">
        <v>55</v>
      </c>
      <c r="B55" s="26">
        <f>SUM(B53:B54)</f>
        <v>-442000</v>
      </c>
      <c r="C55" s="6"/>
      <c r="D55" s="8">
        <f>SUM(D53:D54)</f>
        <v>-683789.4</v>
      </c>
      <c r="E55" s="4"/>
      <c r="F55" s="3">
        <f>+(D55-B55)/B55+1</f>
        <v>1.5470348416289594</v>
      </c>
      <c r="G55" s="26">
        <f>SUM(G53:G54)</f>
        <v>0</v>
      </c>
      <c r="H55" s="8">
        <f>SUM(H53:H54)</f>
        <v>-687741.72</v>
      </c>
      <c r="I55" s="4"/>
      <c r="J55" s="3">
        <f t="shared" si="12"/>
        <v>0.99425319144518387</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10117661.74</v>
      </c>
      <c r="E57" s="4"/>
      <c r="F57" s="4"/>
      <c r="G57" s="4"/>
      <c r="H57" s="9">
        <f>+H36-H50+H55</f>
        <v>7991015.5099999988</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view="pageBreakPreview" zoomScale="60" zoomScaleNormal="100" workbookViewId="0">
      <selection activeCell="A81" sqref="A81"/>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February 29,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44985</v>
      </c>
      <c r="K7" s="11"/>
    </row>
    <row r="8" spans="1:11" s="1" customFormat="1" x14ac:dyDescent="0.25">
      <c r="A8" s="4"/>
      <c r="B8" s="22" t="s">
        <v>33</v>
      </c>
      <c r="C8" s="80"/>
      <c r="D8" s="28" t="s">
        <v>35</v>
      </c>
      <c r="E8" s="87"/>
      <c r="F8" s="22" t="s">
        <v>33</v>
      </c>
      <c r="G8" s="87"/>
      <c r="H8" s="24">
        <f>+'Revenues, Expenditures, Changes'!H9</f>
        <v>44985</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5858913.5</v>
      </c>
      <c r="E31" s="4"/>
      <c r="F31" s="3">
        <f t="shared" si="0"/>
        <v>1.7689123036475336</v>
      </c>
      <c r="G31" s="4"/>
      <c r="H31" s="7">
        <v>5059091.9800000004</v>
      </c>
      <c r="I31" s="4"/>
      <c r="J31" s="3">
        <f t="shared" ref="J31:J33" si="1">+D31/H31</f>
        <v>1.1580958644677577</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3487185.37</v>
      </c>
      <c r="E33" s="4"/>
      <c r="F33" s="3">
        <f>+(D33-B33)/B33+1</f>
        <v>1.1499283666015505</v>
      </c>
      <c r="G33" s="4"/>
      <c r="H33" s="8">
        <v>1633402.94</v>
      </c>
      <c r="I33" s="4"/>
      <c r="J33" s="3">
        <f t="shared" si="1"/>
        <v>2.1349204685526035</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9346098.870000001</v>
      </c>
      <c r="E36" s="4"/>
      <c r="F36" s="3">
        <f>+(D36-B36)/B36+1</f>
        <v>1.4730607170101568</v>
      </c>
      <c r="G36" s="4"/>
      <c r="H36" s="8">
        <f>SUM(H10:H35)</f>
        <v>6692494.9199999999</v>
      </c>
      <c r="I36" s="4"/>
      <c r="J36" s="3">
        <f t="shared" ref="J36" si="3">+D36/H36</f>
        <v>1.3965044399316482</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894589.4</v>
      </c>
      <c r="E39" s="4"/>
      <c r="F39" s="3">
        <f t="shared" ref="F39:F47" si="4">+(D39-B39)/B39+1</f>
        <v>1.1595726147855685</v>
      </c>
      <c r="G39" s="4"/>
      <c r="H39" s="81">
        <v>969786.44</v>
      </c>
      <c r="I39" s="4"/>
      <c r="J39" s="3">
        <f t="shared" ref="J39:J49" si="5">+D39/H39</f>
        <v>0.92246020680594387</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8624.6</v>
      </c>
      <c r="E41" s="4"/>
      <c r="F41" s="3">
        <f t="shared" si="4"/>
        <v>0.99995362318840586</v>
      </c>
      <c r="G41" s="4"/>
      <c r="H41" s="81">
        <v>177782.5</v>
      </c>
      <c r="I41" s="4"/>
      <c r="J41" s="3">
        <f t="shared" si="5"/>
        <v>4.8512086397705066E-2</v>
      </c>
      <c r="K41" s="11"/>
    </row>
    <row r="42" spans="1:11" s="1" customFormat="1" x14ac:dyDescent="0.25">
      <c r="A42" s="4" t="s">
        <v>60</v>
      </c>
      <c r="B42" s="6">
        <v>428278</v>
      </c>
      <c r="C42" s="6"/>
      <c r="D42" s="81">
        <v>497275.29</v>
      </c>
      <c r="E42" s="4"/>
      <c r="F42" s="3">
        <f t="shared" si="4"/>
        <v>1.1611039791910862</v>
      </c>
      <c r="G42" s="4"/>
      <c r="H42" s="81">
        <v>436567.99</v>
      </c>
      <c r="I42" s="4"/>
      <c r="J42" s="3">
        <f t="shared" si="5"/>
        <v>1.1390557745656067</v>
      </c>
      <c r="K42" s="11"/>
    </row>
    <row r="43" spans="1:11" s="1" customFormat="1" x14ac:dyDescent="0.25">
      <c r="A43" s="4" t="s">
        <v>61</v>
      </c>
      <c r="B43" s="6">
        <v>1824139</v>
      </c>
      <c r="C43" s="6"/>
      <c r="D43" s="81">
        <v>2086696.08</v>
      </c>
      <c r="E43" s="4"/>
      <c r="F43" s="3">
        <f t="shared" si="4"/>
        <v>1.1439347988283788</v>
      </c>
      <c r="G43" s="4"/>
      <c r="H43" s="81">
        <v>70698.009999999995</v>
      </c>
      <c r="I43" s="4"/>
      <c r="J43" s="3">
        <f t="shared" si="5"/>
        <v>29.515626818916122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5858913.5</v>
      </c>
      <c r="E45" s="4"/>
      <c r="F45" s="3">
        <f t="shared" si="4"/>
        <v>1.7689123036475336</v>
      </c>
      <c r="G45" s="4"/>
      <c r="H45" s="82">
        <v>5037659.9800000004</v>
      </c>
      <c r="I45" s="4"/>
      <c r="J45" s="3">
        <f t="shared" si="5"/>
        <v>1.1630228167959837</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9346098.870000001</v>
      </c>
      <c r="E49" s="4"/>
      <c r="F49" s="3">
        <f>+(D49-B49)/B49+1</f>
        <v>1.4730607170101568</v>
      </c>
      <c r="G49" s="4"/>
      <c r="H49" s="83">
        <f>SUM(H39:H48)</f>
        <v>6692494.9199999999</v>
      </c>
      <c r="I49" s="4"/>
      <c r="J49" s="3">
        <f t="shared" si="5"/>
        <v>1.3965044399316482</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view="pageBreakPreview" zoomScale="60" zoomScaleNormal="100" workbookViewId="0">
      <selection activeCell="A81" sqref="A81"/>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February 29,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44985</v>
      </c>
      <c r="K7" s="11"/>
      <c r="L7" s="11"/>
    </row>
    <row r="8" spans="1:12" s="1" customFormat="1" x14ac:dyDescent="0.25">
      <c r="A8" s="4"/>
      <c r="B8" s="22" t="s">
        <v>33</v>
      </c>
      <c r="C8" s="80"/>
      <c r="D8" s="28" t="s">
        <v>35</v>
      </c>
      <c r="E8" s="87"/>
      <c r="F8" s="22" t="s">
        <v>33</v>
      </c>
      <c r="G8" s="87"/>
      <c r="H8" s="24">
        <f>+'Revenues, Expenditures, Changes'!H9</f>
        <v>44985</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3.64</v>
      </c>
      <c r="E28" s="4"/>
      <c r="F28" s="3">
        <f t="shared" si="0"/>
        <v>1.2133333333333334</v>
      </c>
      <c r="G28" s="4"/>
      <c r="H28" s="7">
        <v>1.81</v>
      </c>
      <c r="I28" s="4"/>
      <c r="J28" s="3">
        <f t="shared" ref="J28:J33" si="1">+D28/H28</f>
        <v>2.0110497237569063</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260322.21</v>
      </c>
      <c r="E34" s="4"/>
      <c r="F34" s="3">
        <f t="shared" ref="F34:F36" si="2">+(D34-B34)/B34+1</f>
        <v>1.1869677681164705</v>
      </c>
      <c r="G34" s="4"/>
      <c r="H34" s="98">
        <v>135120.64000000001</v>
      </c>
      <c r="I34" s="4"/>
      <c r="J34" s="3">
        <f>+D34/H34</f>
        <v>1.9265910078578665</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260325.85</v>
      </c>
      <c r="E36" s="4"/>
      <c r="F36" s="3">
        <f t="shared" si="2"/>
        <v>1.1869681287616269</v>
      </c>
      <c r="G36" s="4"/>
      <c r="H36" s="8">
        <f>SUM(H10:H35)</f>
        <v>135122.45000000001</v>
      </c>
      <c r="I36" s="4"/>
      <c r="J36" s="3">
        <f>+D36/H36</f>
        <v>1.926592139204107</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87240.62</v>
      </c>
      <c r="E39" s="4"/>
      <c r="F39" s="3">
        <f>+(D39-B39)/B39+1</f>
        <v>1.0664721342738042</v>
      </c>
      <c r="G39" s="4"/>
      <c r="H39" s="5">
        <v>20498.53</v>
      </c>
      <c r="I39" s="4"/>
      <c r="J39" s="3">
        <f>+D39/H39</f>
        <v>4.2559451824106409</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23875.23</v>
      </c>
      <c r="E43" s="4"/>
      <c r="F43" s="3">
        <f t="shared" si="4"/>
        <v>1.0056539320163431</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391003.04</v>
      </c>
      <c r="E45" s="4"/>
      <c r="F45" s="3">
        <f t="shared" si="6"/>
        <v>1.5774647796407764</v>
      </c>
      <c r="G45" s="4"/>
      <c r="H45" s="8">
        <v>360367.45</v>
      </c>
      <c r="I45" s="4"/>
      <c r="J45" s="3">
        <f>+D45/H45</f>
        <v>1.0850120897433992</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502118.88999999996</v>
      </c>
      <c r="E49" s="4"/>
      <c r="F49" s="3">
        <f>+(D49-B49)/B49+1</f>
        <v>1.4207748746505493</v>
      </c>
      <c r="G49" s="4"/>
      <c r="H49" s="8">
        <f>SUM(H39:H48)</f>
        <v>380865.98</v>
      </c>
      <c r="I49" s="4"/>
      <c r="J49" s="3">
        <f>+D49/H49</f>
        <v>1.3183610938419861</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241793.04</v>
      </c>
      <c r="E52" s="4"/>
      <c r="F52" s="3">
        <f>+(D52-B52)/B52+1</f>
        <v>1.8031876622020704</v>
      </c>
      <c r="G52" s="4"/>
      <c r="H52" s="8">
        <v>245743.53</v>
      </c>
      <c r="I52" s="4"/>
      <c r="J52" s="3">
        <f>+D52/H52</f>
        <v>0.98392433770280752</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241793.04</v>
      </c>
      <c r="E54" s="4"/>
      <c r="F54" s="3"/>
      <c r="G54" s="26">
        <f>SUM(G52:G53)</f>
        <v>0</v>
      </c>
      <c r="H54" s="8">
        <f>SUM(H52:H53)</f>
        <v>245743.53</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view="pageBreakPreview" zoomScale="60" zoomScaleNormal="100" workbookViewId="0">
      <selection activeCell="A81" sqref="A81"/>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February 29,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44985</v>
      </c>
      <c r="K7" s="11"/>
      <c r="L7" s="11"/>
    </row>
    <row r="8" spans="1:12" s="1" customFormat="1" x14ac:dyDescent="0.25">
      <c r="A8" s="4"/>
      <c r="B8" s="22" t="s">
        <v>33</v>
      </c>
      <c r="C8" s="56"/>
      <c r="D8" s="28" t="s">
        <v>35</v>
      </c>
      <c r="E8" s="87"/>
      <c r="F8" s="22" t="s">
        <v>33</v>
      </c>
      <c r="G8" s="87"/>
      <c r="H8" s="24">
        <f>+'Revenues, Expenditures, Changes'!H9</f>
        <v>44985</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71614.13</v>
      </c>
      <c r="E35" s="4"/>
      <c r="F35" s="3">
        <f>+(D35-B35)/B35+1+0.0008</f>
        <v>1.5614967266704443</v>
      </c>
      <c r="G35" s="4"/>
      <c r="H35" s="85">
        <v>35094.9</v>
      </c>
      <c r="I35" s="4"/>
      <c r="J35" s="3">
        <f t="shared" ref="J35:J36" si="1">+D35/H35</f>
        <v>2.0405850992594368</v>
      </c>
      <c r="K35" s="11"/>
      <c r="L35" s="11"/>
    </row>
    <row r="36" spans="1:12" s="1" customFormat="1" ht="16.5" x14ac:dyDescent="0.35">
      <c r="A36" s="56" t="s">
        <v>55</v>
      </c>
      <c r="B36" s="26">
        <f>SUM(B10:B35)</f>
        <v>45886</v>
      </c>
      <c r="C36" s="6"/>
      <c r="D36" s="8">
        <f>SUM(D10:D35)</f>
        <v>71614.13</v>
      </c>
      <c r="E36" s="4"/>
      <c r="F36" s="3">
        <f>+(D36-B36)/B36+1+0.0008</f>
        <v>1.5614967266704443</v>
      </c>
      <c r="G36" s="4"/>
      <c r="H36" s="8">
        <f>SUM(H10:H35)</f>
        <v>35094.9</v>
      </c>
      <c r="I36" s="4"/>
      <c r="J36" s="3">
        <f t="shared" si="1"/>
        <v>2.0405850992594368</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69429.97</v>
      </c>
      <c r="E39" s="4"/>
      <c r="F39" s="3">
        <f>+(D39-B39)/B39+1</f>
        <v>1.561276590960198</v>
      </c>
      <c r="G39" s="4"/>
      <c r="H39" s="5">
        <v>33206.910000000003</v>
      </c>
      <c r="I39" s="4"/>
      <c r="J39" s="3">
        <f t="shared" ref="J39:J49" si="2">+D39/H39</f>
        <v>2.0908289870993717</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2184.16</v>
      </c>
      <c r="E41" s="4"/>
      <c r="F41" s="3">
        <f t="shared" ref="F41" si="3">+(D41-B41)/B41+1</f>
        <v>1.5424858757062145</v>
      </c>
      <c r="G41" s="4"/>
      <c r="H41" s="8">
        <v>1887.99</v>
      </c>
      <c r="I41" s="4"/>
      <c r="J41" s="3">
        <f t="shared" si="2"/>
        <v>1.1568705342718975</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71614.13</v>
      </c>
      <c r="E49" s="4"/>
      <c r="F49" s="3">
        <f>+(D49-B49)/B49+1+0.0008</f>
        <v>1.5614967266704443</v>
      </c>
      <c r="G49" s="4"/>
      <c r="H49" s="8">
        <f>SUM(H39:H48)</f>
        <v>35094.9</v>
      </c>
      <c r="I49" s="4"/>
      <c r="J49" s="3">
        <f t="shared" si="2"/>
        <v>2.0405850992594368</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view="pageBreakPreview" zoomScale="60" zoomScaleNormal="100" workbookViewId="0">
      <selection activeCell="A81" sqref="A81"/>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February 29,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44985</v>
      </c>
      <c r="K7" s="11"/>
    </row>
    <row r="8" spans="1:11" s="1" customFormat="1" x14ac:dyDescent="0.25">
      <c r="A8" s="4"/>
      <c r="B8" s="22" t="s">
        <v>33</v>
      </c>
      <c r="C8" s="56"/>
      <c r="D8" s="23" t="s">
        <v>35</v>
      </c>
      <c r="E8" s="87"/>
      <c r="F8" s="22" t="s">
        <v>33</v>
      </c>
      <c r="G8" s="87"/>
      <c r="H8" s="24">
        <f>+'Revenues, Expenditures, Changes'!H9</f>
        <v>44985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1132856.31</v>
      </c>
      <c r="E10" s="4"/>
      <c r="F10" s="3">
        <f>+D10/B10</f>
        <v>0.46278700518812044</v>
      </c>
      <c r="G10" s="4"/>
      <c r="H10" s="5">
        <v>1161263.76</v>
      </c>
      <c r="I10" s="4"/>
      <c r="J10" s="3">
        <f>+D10/H10</f>
        <v>0.97553746962705534</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411.38</v>
      </c>
      <c r="E12" s="4"/>
      <c r="F12" s="3">
        <v>0</v>
      </c>
      <c r="G12" s="4"/>
      <c r="H12" s="8">
        <v>167.6</v>
      </c>
      <c r="I12" s="4"/>
      <c r="J12" s="3">
        <f>+D12/H12</f>
        <v>2.4545346062052507</v>
      </c>
      <c r="K12" s="11"/>
    </row>
    <row r="13" spans="1:11" s="1" customFormat="1" ht="16.5" x14ac:dyDescent="0.35">
      <c r="A13" s="56" t="s">
        <v>55</v>
      </c>
      <c r="B13" s="26">
        <f>SUM(B10:B12)</f>
        <v>2447900</v>
      </c>
      <c r="C13" s="6"/>
      <c r="D13" s="8">
        <f>SUM(D10:D12)</f>
        <v>1133267.69</v>
      </c>
      <c r="E13" s="4"/>
      <c r="F13" s="3">
        <f>+D13/B13</f>
        <v>0.46295505943870252</v>
      </c>
      <c r="G13" s="4"/>
      <c r="H13" s="8">
        <f>SUM(H10:H12)</f>
        <v>1161431.3600000001</v>
      </c>
      <c r="I13" s="4"/>
      <c r="J13" s="3">
        <f>+D13/H13</f>
        <v>0.97575089586008756</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274564.87</v>
      </c>
      <c r="E16" s="4"/>
      <c r="F16" s="3">
        <f t="shared" ref="F16:F30" si="1">+D16/B16</f>
        <v>0.48376871628074158</v>
      </c>
      <c r="G16" s="4"/>
      <c r="H16" s="95">
        <v>274613.05</v>
      </c>
      <c r="I16" s="4"/>
      <c r="J16" s="3">
        <f t="shared" ref="J16:J30" si="2">+D16/H16</f>
        <v>0.99982455313030461</v>
      </c>
      <c r="K16" s="11"/>
    </row>
    <row r="17" spans="1:11" s="1" customFormat="1" x14ac:dyDescent="0.25">
      <c r="A17" s="4" t="s">
        <v>80</v>
      </c>
      <c r="B17" s="52">
        <v>201629</v>
      </c>
      <c r="C17" s="6"/>
      <c r="D17" s="5">
        <v>90775.55</v>
      </c>
      <c r="E17" s="4"/>
      <c r="F17" s="3">
        <f t="shared" si="1"/>
        <v>0.45021078317107166</v>
      </c>
      <c r="G17" s="4"/>
      <c r="H17" s="95">
        <v>90489.55</v>
      </c>
      <c r="I17" s="4"/>
      <c r="J17" s="3">
        <f t="shared" si="2"/>
        <v>1.0031605859461119</v>
      </c>
      <c r="K17" s="11"/>
    </row>
    <row r="18" spans="1:11" s="1" customFormat="1" x14ac:dyDescent="0.25">
      <c r="A18" s="4" t="s">
        <v>81</v>
      </c>
      <c r="B18" s="52">
        <v>192919</v>
      </c>
      <c r="C18" s="6"/>
      <c r="D18" s="5">
        <v>98274.51</v>
      </c>
      <c r="E18" s="4"/>
      <c r="F18" s="3">
        <f t="shared" si="1"/>
        <v>0.50940814538744239</v>
      </c>
      <c r="G18" s="4"/>
      <c r="H18" s="95">
        <v>97828.29</v>
      </c>
      <c r="I18" s="4"/>
      <c r="J18" s="3">
        <f t="shared" si="2"/>
        <v>1.0045612572804861</v>
      </c>
      <c r="K18" s="11"/>
    </row>
    <row r="19" spans="1:11" s="1" customFormat="1" x14ac:dyDescent="0.25">
      <c r="A19" s="4" t="s">
        <v>82</v>
      </c>
      <c r="B19" s="52">
        <v>139323</v>
      </c>
      <c r="C19" s="6"/>
      <c r="D19" s="5">
        <v>127657.94</v>
      </c>
      <c r="E19" s="4"/>
      <c r="F19" s="3">
        <f t="shared" si="1"/>
        <v>0.91627326428515032</v>
      </c>
      <c r="G19" s="4"/>
      <c r="H19" s="95">
        <v>117057.24</v>
      </c>
      <c r="I19" s="4"/>
      <c r="J19" s="3">
        <f t="shared" si="2"/>
        <v>1.0905599687810852</v>
      </c>
      <c r="K19" s="11"/>
    </row>
    <row r="20" spans="1:11" s="1" customFormat="1" x14ac:dyDescent="0.25">
      <c r="A20" s="4" t="s">
        <v>83</v>
      </c>
      <c r="B20" s="52">
        <v>26850</v>
      </c>
      <c r="C20" s="6"/>
      <c r="D20" s="5">
        <v>15562.57</v>
      </c>
      <c r="E20" s="4"/>
      <c r="F20" s="3">
        <f t="shared" si="1"/>
        <v>0.5796115456238361</v>
      </c>
      <c r="G20" s="4"/>
      <c r="H20" s="95">
        <v>20172.38</v>
      </c>
      <c r="I20" s="4"/>
      <c r="J20" s="3">
        <f t="shared" si="2"/>
        <v>0.77147912145220343</v>
      </c>
      <c r="K20" s="11"/>
    </row>
    <row r="21" spans="1:11" s="1" customFormat="1" x14ac:dyDescent="0.25">
      <c r="A21" s="4" t="s">
        <v>88</v>
      </c>
      <c r="B21" s="52">
        <v>11815</v>
      </c>
      <c r="C21" s="6"/>
      <c r="D21" s="5">
        <v>4142.8</v>
      </c>
      <c r="E21" s="4"/>
      <c r="F21" s="3">
        <f t="shared" si="1"/>
        <v>0.35063901819720694</v>
      </c>
      <c r="G21" s="4"/>
      <c r="H21" s="95">
        <v>32.799999999999997</v>
      </c>
      <c r="I21" s="4"/>
      <c r="J21" s="3">
        <v>0</v>
      </c>
      <c r="K21" s="11"/>
    </row>
    <row r="22" spans="1:11" s="1" customFormat="1" x14ac:dyDescent="0.25">
      <c r="A22" s="4" t="s">
        <v>84</v>
      </c>
      <c r="B22" s="52">
        <v>14175</v>
      </c>
      <c r="C22" s="6"/>
      <c r="D22" s="5">
        <v>7392.87</v>
      </c>
      <c r="E22" s="4"/>
      <c r="F22" s="3">
        <f t="shared" si="1"/>
        <v>0.52154285714285709</v>
      </c>
      <c r="G22" s="4"/>
      <c r="H22" s="95">
        <v>7879.48</v>
      </c>
      <c r="I22" s="4"/>
      <c r="J22" s="3">
        <f t="shared" si="2"/>
        <v>0.93824338661942164</v>
      </c>
      <c r="K22" s="11"/>
    </row>
    <row r="23" spans="1:11" s="1" customFormat="1" x14ac:dyDescent="0.25">
      <c r="A23" s="4" t="s">
        <v>85</v>
      </c>
      <c r="B23" s="52">
        <v>4000</v>
      </c>
      <c r="C23" s="6"/>
      <c r="D23" s="5">
        <v>1019.87</v>
      </c>
      <c r="E23" s="4"/>
      <c r="F23" s="3">
        <f t="shared" si="1"/>
        <v>0.25496750000000001</v>
      </c>
      <c r="G23" s="4"/>
      <c r="H23" s="95">
        <v>1729.31</v>
      </c>
      <c r="I23" s="4"/>
      <c r="J23" s="3">
        <f t="shared" si="2"/>
        <v>0.58975545159630138</v>
      </c>
      <c r="K23" s="11"/>
    </row>
    <row r="24" spans="1:11" s="1" customFormat="1" x14ac:dyDescent="0.25">
      <c r="A24" s="4" t="s">
        <v>86</v>
      </c>
      <c r="B24" s="52">
        <v>3000</v>
      </c>
      <c r="C24" s="6"/>
      <c r="D24" s="20">
        <v>1532.93</v>
      </c>
      <c r="E24" s="4"/>
      <c r="F24" s="3">
        <f t="shared" si="1"/>
        <v>0.51097666666666663</v>
      </c>
      <c r="G24" s="4"/>
      <c r="H24" s="95">
        <v>4879.95</v>
      </c>
      <c r="I24" s="4"/>
      <c r="J24" s="3">
        <f t="shared" si="2"/>
        <v>0.31412821852682921</v>
      </c>
      <c r="K24" s="11"/>
    </row>
    <row r="25" spans="1:11" s="1" customFormat="1" x14ac:dyDescent="0.25">
      <c r="A25" s="4" t="s">
        <v>87</v>
      </c>
      <c r="B25" s="52">
        <f>199300+100073</f>
        <v>299373</v>
      </c>
      <c r="C25" s="6"/>
      <c r="D25" s="5">
        <v>111517.41</v>
      </c>
      <c r="E25" s="4"/>
      <c r="F25" s="3">
        <f t="shared" si="1"/>
        <v>0.37250323175436661</v>
      </c>
      <c r="G25" s="4"/>
      <c r="H25" s="95">
        <v>109348.19</v>
      </c>
      <c r="I25" s="4"/>
      <c r="J25" s="3">
        <f t="shared" si="2"/>
        <v>1.0198377311960993</v>
      </c>
      <c r="K25" s="11"/>
    </row>
    <row r="26" spans="1:11" s="1" customFormat="1" x14ac:dyDescent="0.25">
      <c r="A26" s="4" t="s">
        <v>63</v>
      </c>
      <c r="B26" s="52">
        <v>42000</v>
      </c>
      <c r="C26" s="6"/>
      <c r="D26" s="5">
        <v>38957.5</v>
      </c>
      <c r="E26" s="4"/>
      <c r="F26" s="3">
        <f t="shared" si="1"/>
        <v>0.92755952380952378</v>
      </c>
      <c r="G26" s="4"/>
      <c r="H26" s="95">
        <v>37589</v>
      </c>
      <c r="I26" s="4"/>
      <c r="J26" s="3">
        <f t="shared" si="2"/>
        <v>1.0364069275585943</v>
      </c>
      <c r="K26" s="11"/>
    </row>
    <row r="27" spans="1:11" s="1" customFormat="1" x14ac:dyDescent="0.25">
      <c r="A27" s="4" t="s">
        <v>64</v>
      </c>
      <c r="B27" s="52">
        <v>1514880</v>
      </c>
      <c r="C27" s="6"/>
      <c r="D27" s="5">
        <v>651123.81000000006</v>
      </c>
      <c r="E27" s="4"/>
      <c r="F27" s="3">
        <f t="shared" si="1"/>
        <v>0.42981873811787075</v>
      </c>
      <c r="G27" s="4"/>
      <c r="H27" s="95">
        <v>686022.83</v>
      </c>
      <c r="I27" s="4"/>
      <c r="J27" s="3">
        <f t="shared" si="2"/>
        <v>0.949128486000969</v>
      </c>
      <c r="K27" s="11"/>
    </row>
    <row r="28" spans="1:11" s="1" customFormat="1" ht="16.5" x14ac:dyDescent="0.35">
      <c r="A28" s="4" t="s">
        <v>89</v>
      </c>
      <c r="B28" s="53">
        <v>6603</v>
      </c>
      <c r="C28" s="6"/>
      <c r="D28" s="8">
        <v>7135.14</v>
      </c>
      <c r="E28" s="4"/>
      <c r="F28" s="3">
        <f t="shared" si="1"/>
        <v>1.0805906406179011</v>
      </c>
      <c r="G28" s="4"/>
      <c r="H28" s="96">
        <v>1359.57</v>
      </c>
      <c r="I28" s="4"/>
      <c r="J28" s="3">
        <f t="shared" si="2"/>
        <v>5.2480857918312411</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1429657.77</v>
      </c>
      <c r="E30" s="4"/>
      <c r="F30" s="3">
        <f t="shared" si="1"/>
        <v>0.47275151027356377</v>
      </c>
      <c r="G30" s="4"/>
      <c r="H30" s="8">
        <f>SUM(H16:H29)</f>
        <v>1449001.64</v>
      </c>
      <c r="I30" s="4"/>
      <c r="J30" s="3">
        <f t="shared" si="2"/>
        <v>0.98665020834621009</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-296390.08000000007</v>
      </c>
      <c r="E37" s="4"/>
      <c r="F37" s="4"/>
      <c r="G37" s="4"/>
      <c r="H37" s="9">
        <f>+H13-H30+H35</f>
        <v>-287570.2799999998</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2024-04-04T21:08:42Z</cp:lastPrinted>
  <dcterms:created xsi:type="dcterms:W3CDTF">2009-11-06T16:21:47Z</dcterms:created>
  <dcterms:modified xsi:type="dcterms:W3CDTF">2024-04-05T15:01:13Z</dcterms:modified>
</cp:coreProperties>
</file>