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CD21E79B-A66C-4D05-9176-521DEED2C7E1}" xr6:coauthVersionLast="47" xr6:coauthVersionMax="47" xr10:uidLastSave="{00000000-0000-0000-0000-000000000000}"/>
  <bookViews>
    <workbookView xWindow="-120" yWindow="-120" windowWidth="29040" windowHeight="15840" activeTab="2"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49" i="9"/>
  <c r="J39" i="9"/>
  <c r="J36" i="9"/>
  <c r="J35" i="9"/>
  <c r="J40" i="8"/>
  <c r="J41" i="8"/>
  <c r="J42" i="8"/>
  <c r="J28" i="8"/>
  <c r="J29" i="8"/>
  <c r="J30" i="8"/>
  <c r="J31" i="8"/>
  <c r="J32" i="8"/>
  <c r="J33" i="8"/>
  <c r="F28" i="8"/>
  <c r="F29" i="8"/>
  <c r="F30" i="8"/>
  <c r="F31" i="8"/>
  <c r="F32" i="8"/>
  <c r="F33" i="8"/>
  <c r="F40" i="8"/>
  <c r="F41" i="8"/>
  <c r="F42" i="8"/>
  <c r="F43" i="8"/>
  <c r="J46" i="6"/>
  <c r="J47" i="6"/>
  <c r="F46" i="6"/>
  <c r="F47" i="6"/>
  <c r="B75" i="1"/>
  <c r="D75" i="1"/>
  <c r="F11" i="10" l="1"/>
  <c r="J23" i="10"/>
  <c r="J24" i="10"/>
  <c r="B13" i="2" l="1"/>
  <c r="B14" i="2"/>
  <c r="B37" i="2"/>
  <c r="B41" i="2"/>
  <c r="B43" i="2"/>
  <c r="B44" i="2"/>
  <c r="B45" i="2"/>
  <c r="B46" i="2"/>
  <c r="B56" i="9" l="1"/>
  <c r="B51" i="2" l="1"/>
  <c r="B30" i="6" l="1"/>
  <c r="B30" i="22"/>
  <c r="B19" i="22"/>
  <c r="B18" i="22"/>
  <c r="B24" i="23"/>
  <c r="B19" i="6" l="1"/>
  <c r="B18" i="6"/>
  <c r="B25" i="10"/>
  <c r="H35" i="22" l="1"/>
  <c r="H12" i="22"/>
  <c r="B55" i="1" l="1"/>
  <c r="D55" i="1"/>
  <c r="B53" i="1"/>
  <c r="B54" i="1"/>
  <c r="H56" i="9" l="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H13" i="22"/>
  <c r="H10" i="22"/>
  <c r="H15" i="22"/>
  <c r="H18" i="22"/>
  <c r="H19" i="22"/>
  <c r="H20" i="22"/>
  <c r="H22" i="22"/>
  <c r="H25" i="22"/>
  <c r="H26" i="22"/>
  <c r="H27" i="22"/>
  <c r="H28" i="22"/>
  <c r="H30" i="22"/>
  <c r="H31" i="22"/>
  <c r="H33" i="22"/>
  <c r="H34" i="22"/>
  <c r="B36" i="22"/>
  <c r="D36" i="22"/>
  <c r="F36" i="22"/>
  <c r="H39" i="22"/>
  <c r="H40" i="22"/>
  <c r="H41" i="22"/>
  <c r="H42" i="22"/>
  <c r="H43" i="22"/>
  <c r="H44" i="22"/>
  <c r="H45" i="22"/>
  <c r="H46" i="22"/>
  <c r="H47" i="22"/>
  <c r="B48" i="22"/>
  <c r="D48" i="22"/>
  <c r="F48" i="22"/>
  <c r="H51" i="22"/>
  <c r="H53" i="22" s="1"/>
  <c r="H52" i="22"/>
  <c r="B53" i="22"/>
  <c r="D53" i="22"/>
  <c r="F53" i="22"/>
  <c r="B55" i="22" l="1"/>
  <c r="D55" i="22"/>
  <c r="H48" i="22"/>
  <c r="F55" i="22"/>
  <c r="H36" i="22"/>
  <c r="H55" i="22" l="1"/>
  <c r="A3" i="13"/>
  <c r="A3" i="2"/>
  <c r="A3" i="23" s="1"/>
  <c r="A3" i="12"/>
  <c r="A3" i="22" l="1"/>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35" i="8" l="1"/>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D56" i="8" l="1"/>
  <c r="F13" i="10"/>
  <c r="F49" i="9"/>
  <c r="F36" i="9"/>
  <c r="J36" i="7"/>
  <c r="J13" i="10"/>
  <c r="J49" i="8"/>
  <c r="F34" i="11"/>
  <c r="J34" i="11"/>
  <c r="F36" i="8"/>
  <c r="B56" i="8"/>
  <c r="F36" i="6"/>
  <c r="B50" i="2"/>
  <c r="F50" i="2" s="1"/>
  <c r="H52" i="2"/>
  <c r="F49" i="8"/>
  <c r="D31" i="2"/>
  <c r="D37" i="10"/>
  <c r="B31" i="2"/>
  <c r="B38" i="2" s="1"/>
  <c r="B37" i="10"/>
  <c r="H37" i="10"/>
  <c r="H56" i="8"/>
  <c r="H31" i="2"/>
  <c r="H47" i="11"/>
  <c r="F49" i="7"/>
  <c r="B47" i="11"/>
  <c r="F36" i="7"/>
  <c r="D57" i="6"/>
  <c r="B52" i="2" l="1"/>
  <c r="B59" i="2" s="1"/>
  <c r="F31" i="2"/>
  <c r="J31" i="2"/>
  <c r="D38" i="2"/>
  <c r="D52" i="2"/>
  <c r="H38" i="2"/>
  <c r="F52" i="2" l="1"/>
  <c r="D59" i="2"/>
  <c r="B77" i="1" s="1"/>
  <c r="F38" i="2"/>
  <c r="J38" i="2"/>
  <c r="J52" i="2"/>
  <c r="H59" i="2"/>
  <c r="D77" i="1" s="1"/>
  <c r="B60" i="1" l="1"/>
  <c r="B62" i="1" s="1"/>
  <c r="B68" i="1" s="1"/>
  <c r="B80" i="1" l="1"/>
  <c r="B81" i="1" s="1"/>
  <c r="D60" i="1"/>
  <c r="D62" i="1" s="1"/>
  <c r="D68" i="1" s="1"/>
  <c r="D80" i="1" s="1"/>
  <c r="B82" i="1" l="1"/>
  <c r="D81" i="1"/>
  <c r="D82" i="1" s="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<sst xmlns="http://schemas.openxmlformats.org/spreadsheetml/2006/main" count="883" uniqueCount="404">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</sst>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0" applyFont="1" applyFill="1" applyAlignment="1">
      <alignment horizontal="center"/>
    </xf>
    <xf numFmtId="15" fontId="3" fillId="0" borderId="0" xfId="0" quotePrefix="1" applyNumberFormat="1" applyFont="1" applyFill="1" applyAlignment="1">
      <alignment horizontal="center"/>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Fill="1" applyAlignment="1">
      <alignment vertical="top" wrapText="1"/>
    </xf>
    <xf numFmtId="0" fontId="3" fillId="0" borderId="0" xfId="0" applyFont="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topLeftCell="A41" zoomScaleNormal="100" workbookViewId="0">
      <selection activeCell="G79" sqref="G79"/>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791022.13</v>
      </c>
      <c r="C8" s="5"/>
      <c r="D8" s="7">
        <v>987877.97</v>
      </c>
      <c r="E8" s="16" t="s">
        <v>95</v>
      </c>
      <c r="F8" s="45"/>
    </row>
    <row r="9" spans="1:7" x14ac:dyDescent="0.25">
      <c r="A9" s="10" t="s">
        <v>3</v>
      </c>
      <c r="B9" s="5">
        <v>-326106.17</v>
      </c>
      <c r="C9" s="5"/>
      <c r="D9" s="5">
        <v>516609.08</v>
      </c>
      <c r="E9" s="16" t="s">
        <v>96</v>
      </c>
      <c r="F9" s="45"/>
    </row>
    <row r="10" spans="1:7" x14ac:dyDescent="0.25">
      <c r="A10" s="10" t="s">
        <v>4</v>
      </c>
      <c r="B10" s="5">
        <v>29151152.91</v>
      </c>
      <c r="C10" s="5"/>
      <c r="D10" s="5">
        <v>16804182.699999999</v>
      </c>
      <c r="E10" s="16" t="s">
        <v>97</v>
      </c>
      <c r="F10" s="46"/>
    </row>
    <row r="11" spans="1:7" x14ac:dyDescent="0.25">
      <c r="A11" s="10" t="s">
        <v>5</v>
      </c>
      <c r="B11" s="5">
        <v>2253.36</v>
      </c>
      <c r="C11" s="5"/>
      <c r="D11" s="5">
        <v>108.84</v>
      </c>
      <c r="E11" s="16" t="s">
        <v>97</v>
      </c>
      <c r="F11" s="46"/>
      <c r="G11" s="14"/>
    </row>
    <row r="12" spans="1:7" x14ac:dyDescent="0.25">
      <c r="A12" s="10" t="s">
        <v>6</v>
      </c>
      <c r="B12" s="5">
        <v>4925184.32</v>
      </c>
      <c r="C12" s="5"/>
      <c r="D12" s="5">
        <v>7183083.4000000004</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34896508.18</v>
      </c>
      <c r="C16" s="5"/>
      <c r="D16" s="8">
        <f>SUM(D8:D15)</f>
        <v>25906113.700000003</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101375533.53999999</v>
      </c>
      <c r="C28" s="5"/>
      <c r="D28" s="8">
        <f>+D16+D22+D26</f>
        <v>90148299.700000003</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524904.35</v>
      </c>
      <c r="C32" s="5"/>
      <c r="D32" s="5">
        <v>441742.33</v>
      </c>
      <c r="E32" s="16" t="s">
        <v>109</v>
      </c>
    </row>
    <row r="33" spans="1:5" x14ac:dyDescent="0.25">
      <c r="A33" s="10" t="s">
        <v>17</v>
      </c>
      <c r="B33" s="5">
        <v>407043.59</v>
      </c>
      <c r="C33" s="5"/>
      <c r="D33" s="5">
        <v>595404.79</v>
      </c>
      <c r="E33" s="16" t="s">
        <v>193</v>
      </c>
    </row>
    <row r="34" spans="1:5" x14ac:dyDescent="0.25">
      <c r="A34" s="10" t="s">
        <v>18</v>
      </c>
      <c r="B34" s="5">
        <v>271213.78999999998</v>
      </c>
      <c r="C34" s="5"/>
      <c r="D34" s="5">
        <v>260700.03</v>
      </c>
      <c r="E34" s="56" t="s">
        <v>260</v>
      </c>
    </row>
    <row r="35" spans="1:5" ht="16.5" x14ac:dyDescent="0.35">
      <c r="A35" s="10" t="s">
        <v>19</v>
      </c>
      <c r="B35" s="8">
        <v>-1531.34</v>
      </c>
      <c r="C35" s="5"/>
      <c r="D35" s="8">
        <v>550922.79</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1201630.3899999999</v>
      </c>
      <c r="C41" s="5"/>
      <c r="D41" s="8">
        <f>SUM(D32:D35)</f>
        <v>1848769.9400000002</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58453019.399999999</v>
      </c>
      <c r="C62" s="5"/>
      <c r="D62" s="8">
        <f>+D41+D60</f>
        <v>52760090.939999998</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71744609.400000006</v>
      </c>
      <c r="C68" s="5"/>
      <c r="D68" s="8">
        <f>+D62+D66</f>
        <v>62964228.939999998</v>
      </c>
    </row>
    <row r="69" spans="1:8" ht="7.5" customHeight="1" x14ac:dyDescent="0.25">
      <c r="B69" s="5"/>
      <c r="C69" s="5"/>
      <c r="D69" s="5"/>
    </row>
    <row r="70" spans="1:8" x14ac:dyDescent="0.25">
      <c r="A70" s="29" t="s">
        <v>282</v>
      </c>
      <c r="B70" s="5"/>
      <c r="C70" s="5"/>
      <c r="D70" s="5"/>
    </row>
    <row r="71" spans="1:8" x14ac:dyDescent="0.25">
      <c r="A71" s="4" t="s">
        <v>29</v>
      </c>
      <c r="B71" s="5">
        <v>30018082.91</v>
      </c>
      <c r="C71" s="5"/>
      <c r="D71" s="5">
        <v>27456203.23</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-387158.77000000089</v>
      </c>
      <c r="C75" s="5"/>
      <c r="D75" s="8">
        <f>'Revenues, Expenditures, Changes'!H59</f>
        <v>-272132.47000000323</v>
      </c>
    </row>
    <row r="76" spans="1:8" ht="7.5" customHeight="1" x14ac:dyDescent="0.35">
      <c r="B76" s="8"/>
      <c r="C76" s="5"/>
      <c r="D76" s="8"/>
    </row>
    <row r="77" spans="1:8" ht="16.5" x14ac:dyDescent="0.35">
      <c r="A77" s="4" t="s">
        <v>283</v>
      </c>
      <c r="B77" s="9">
        <f>SUM(B71:B76)</f>
        <v>29630924.140000001</v>
      </c>
      <c r="C77" s="5"/>
      <c r="D77" s="9">
        <f>SUM(D71:D76)</f>
        <v>27184070.759999998</v>
      </c>
      <c r="F77" s="46"/>
      <c r="G77" s="14"/>
      <c r="H77" s="15"/>
    </row>
    <row r="78" spans="1:8" x14ac:dyDescent="0.25">
      <c r="B78" s="5"/>
      <c r="C78" s="5"/>
      <c r="D78" s="5"/>
      <c r="H78" s="15"/>
    </row>
    <row r="79" spans="1:8" x14ac:dyDescent="0.25">
      <c r="B79" s="5"/>
      <c r="C79" s="5"/>
      <c r="D79" s="5"/>
    </row>
    <row r="80" spans="1:8" x14ac:dyDescent="0.25">
      <c r="A80" s="92" t="s">
        <v>359</v>
      </c>
      <c r="B80" s="5">
        <f>+B28-B68</f>
        <v>29630924.139999986</v>
      </c>
      <c r="C80" s="5"/>
      <c r="D80" s="5">
        <f>+D28-D68</f>
        <v>27184070.760000005</v>
      </c>
    </row>
    <row r="81" spans="1:4" ht="16.5" x14ac:dyDescent="0.35">
      <c r="A81" s="92" t="s">
        <v>360</v>
      </c>
      <c r="B81" s="83">
        <f>+B77-B80</f>
        <v>0</v>
      </c>
      <c r="C81" s="83"/>
      <c r="D81" s="83">
        <f t="shared" ref="D81" si="0">+D77-D80</f>
        <v>0</v>
      </c>
    </row>
    <row r="82" spans="1:4" ht="16.5" x14ac:dyDescent="0.35">
      <c r="B82" s="62">
        <f>SUM(B80:B81)</f>
        <v>29630924.139999986</v>
      </c>
      <c r="C82" s="62"/>
      <c r="D82" s="62">
        <f>SUM(D80:D81)</f>
        <v>27184070.760000005</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G79" sqref="G79"/>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December 31, 2023</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44926</v>
      </c>
      <c r="K7" s="11"/>
      <c r="L7" s="11"/>
    </row>
    <row r="8" spans="1:12" s="1" customFormat="1" x14ac:dyDescent="0.25">
      <c r="A8" s="4"/>
      <c r="B8" s="22" t="s">
        <v>33</v>
      </c>
      <c r="C8" s="56"/>
      <c r="D8" s="28" t="s">
        <v>35</v>
      </c>
      <c r="E8" s="87"/>
      <c r="F8" s="22" t="s">
        <v>33</v>
      </c>
      <c r="G8" s="87"/>
      <c r="H8" s="37">
        <f>+'Revenues, Expenditures, Changes'!H9</f>
        <v>44926</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321198.64</v>
      </c>
      <c r="E13" s="4"/>
      <c r="F13" s="3">
        <f>+D13/B13</f>
        <v>0.11271076862612993</v>
      </c>
      <c r="G13" s="4"/>
      <c r="H13" s="7">
        <v>287616.86</v>
      </c>
      <c r="I13" s="4"/>
      <c r="J13" s="3">
        <f>+D13/H13</f>
        <v>1.1167587324331405</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41.43</v>
      </c>
      <c r="E26" s="35"/>
      <c r="F26" s="3">
        <v>0</v>
      </c>
      <c r="G26" s="35"/>
      <c r="H26" s="5">
        <v>1.22</v>
      </c>
      <c r="I26" s="4"/>
      <c r="J26" s="3">
        <f t="shared" si="1"/>
        <v>33.959016393442624</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6">
        <v>0</v>
      </c>
      <c r="C28" s="6"/>
      <c r="D28" s="8">
        <v>556.83000000000004</v>
      </c>
      <c r="E28" s="4"/>
      <c r="F28" s="3">
        <v>0</v>
      </c>
      <c r="G28" s="4"/>
      <c r="H28" s="127">
        <v>0</v>
      </c>
      <c r="I28" s="4"/>
      <c r="J28" s="128">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321796.90000000002</v>
      </c>
      <c r="E34" s="4"/>
      <c r="F34" s="3">
        <f>+D34/B34</f>
        <v>0.11292070209421146</v>
      </c>
      <c r="G34" s="4"/>
      <c r="H34" s="8">
        <f>SUM(H10:H33)</f>
        <v>287618.07999999996</v>
      </c>
      <c r="I34" s="4"/>
      <c r="J34" s="3">
        <f t="shared" si="2"/>
        <v>1.1188340454814247</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v>0</v>
      </c>
      <c r="E37" s="4"/>
      <c r="F37" s="3">
        <f>+D37/B37</f>
        <v>0</v>
      </c>
      <c r="G37" s="4"/>
      <c r="H37" s="5">
        <v>0</v>
      </c>
      <c r="I37" s="4"/>
      <c r="J37" s="3">
        <v>0</v>
      </c>
      <c r="K37" s="11"/>
      <c r="L37" s="11"/>
    </row>
    <row r="38" spans="1:12" s="1" customFormat="1" ht="16.5" x14ac:dyDescent="0.35">
      <c r="A38" s="4" t="s">
        <v>78</v>
      </c>
      <c r="B38" s="26">
        <v>909760</v>
      </c>
      <c r="C38" s="6"/>
      <c r="D38" s="8">
        <v>0</v>
      </c>
      <c r="E38" s="4"/>
      <c r="F38" s="3">
        <f>+D38/B38</f>
        <v>0</v>
      </c>
      <c r="G38" s="4"/>
      <c r="H38" s="8">
        <v>0</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321796.90000000002</v>
      </c>
      <c r="E47" s="4"/>
      <c r="F47" s="3"/>
      <c r="G47" s="4"/>
      <c r="H47" s="89">
        <f>+H34-H40+H45</f>
        <v>287618.07999999996</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4" zoomScaleNormal="100" workbookViewId="0">
      <selection activeCell="G79" sqref="G79"/>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December 31, 2023</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133855</v>
      </c>
      <c r="E12" s="103"/>
      <c r="F12" s="103">
        <v>535421</v>
      </c>
      <c r="G12" s="102"/>
      <c r="H12" s="103">
        <f>+B12+F12</f>
        <v>535421</v>
      </c>
      <c r="I12" s="102"/>
      <c r="J12" s="102"/>
    </row>
    <row r="13" spans="1:10" s="106" customFormat="1" x14ac:dyDescent="0.25">
      <c r="A13" s="114" t="s">
        <v>94</v>
      </c>
      <c r="B13" s="103">
        <v>0</v>
      </c>
      <c r="C13" s="103"/>
      <c r="D13" s="103">
        <v>60515</v>
      </c>
      <c r="E13" s="103"/>
      <c r="F13" s="103">
        <v>200423</v>
      </c>
      <c r="G13" s="102"/>
      <c r="H13" s="103">
        <f>+B13+F13</f>
        <v>200423</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13741594</v>
      </c>
      <c r="C15" s="103"/>
      <c r="D15" s="103">
        <v>0</v>
      </c>
      <c r="E15" s="103"/>
      <c r="F15" s="103">
        <v>0</v>
      </c>
      <c r="G15" s="102"/>
      <c r="H15" s="103">
        <f>+B15+F15</f>
        <v>13741594</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f>1599976+126720+1196059+161568+69172+1122622</f>
        <v>4276117</v>
      </c>
      <c r="C18" s="103"/>
      <c r="D18" s="103">
        <v>0</v>
      </c>
      <c r="E18" s="103"/>
      <c r="F18" s="103">
        <v>0</v>
      </c>
      <c r="G18" s="102"/>
      <c r="H18" s="103">
        <f>+B18+F18</f>
        <v>4276117</v>
      </c>
      <c r="I18" s="102"/>
      <c r="J18" s="102"/>
    </row>
    <row r="19" spans="1:10" s="106" customFormat="1" x14ac:dyDescent="0.25">
      <c r="A19" s="114" t="s">
        <v>43</v>
      </c>
      <c r="B19" s="103">
        <f>515915+196345+215000+35000+122400+496200+10955</f>
        <v>1591815</v>
      </c>
      <c r="C19" s="103"/>
      <c r="D19" s="103">
        <v>0</v>
      </c>
      <c r="E19" s="103"/>
      <c r="F19" s="103">
        <v>0</v>
      </c>
      <c r="G19" s="102"/>
      <c r="H19" s="103">
        <f>+B19+F19</f>
        <v>1591815</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4985352</v>
      </c>
      <c r="C22" s="103"/>
      <c r="D22" s="103">
        <v>0</v>
      </c>
      <c r="E22" s="103"/>
      <c r="F22" s="103">
        <v>0</v>
      </c>
      <c r="G22" s="102"/>
      <c r="H22" s="103">
        <f>+B22+F22</f>
        <v>4985352</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99663</v>
      </c>
      <c r="C35" s="103"/>
      <c r="D35" s="113">
        <v>101831</v>
      </c>
      <c r="E35" s="103"/>
      <c r="F35" s="107">
        <v>265358</v>
      </c>
      <c r="G35" s="102"/>
      <c r="H35" s="107">
        <f>+B35+F35</f>
        <v>365021</v>
      </c>
      <c r="I35" s="102"/>
      <c r="J35" s="102"/>
    </row>
    <row r="36" spans="1:10" s="106" customFormat="1" ht="16.5" x14ac:dyDescent="0.35">
      <c r="A36" s="109" t="s">
        <v>55</v>
      </c>
      <c r="B36" s="111">
        <f>SUM(B10:B35)</f>
        <v>30855999</v>
      </c>
      <c r="C36" s="111"/>
      <c r="D36" s="111">
        <f>SUM(D10:D35)</f>
        <v>296201</v>
      </c>
      <c r="E36" s="111"/>
      <c r="F36" s="111">
        <f>SUM(F10:F35)</f>
        <v>1001202</v>
      </c>
      <c r="G36" s="112"/>
      <c r="H36" s="111">
        <f>SUM(H10:H35)</f>
        <v>31857201</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172580</v>
      </c>
      <c r="E39" s="103"/>
      <c r="F39" s="103">
        <v>1867695</v>
      </c>
      <c r="G39" s="102"/>
      <c r="H39" s="103">
        <f t="shared" ref="H39:H47" si="0">+B39+F39</f>
        <v>11479595</v>
      </c>
      <c r="I39" s="102"/>
      <c r="J39" s="102"/>
    </row>
    <row r="40" spans="1:10" s="106" customFormat="1" x14ac:dyDescent="0.25">
      <c r="A40" s="102" t="s">
        <v>58</v>
      </c>
      <c r="B40" s="103">
        <v>513009</v>
      </c>
      <c r="C40" s="103"/>
      <c r="D40" s="103">
        <v>0</v>
      </c>
      <c r="E40" s="103"/>
      <c r="F40" s="103">
        <v>3202</v>
      </c>
      <c r="G40" s="102"/>
      <c r="H40" s="103">
        <f t="shared" si="0"/>
        <v>516211</v>
      </c>
      <c r="I40" s="102"/>
      <c r="J40" s="102"/>
    </row>
    <row r="41" spans="1:10" s="106" customFormat="1" x14ac:dyDescent="0.25">
      <c r="A41" s="102" t="s">
        <v>59</v>
      </c>
      <c r="B41" s="103">
        <v>2883205</v>
      </c>
      <c r="C41" s="103"/>
      <c r="D41" s="103">
        <v>18617</v>
      </c>
      <c r="E41" s="103"/>
      <c r="F41" s="103">
        <v>440703</v>
      </c>
      <c r="G41" s="102"/>
      <c r="H41" s="103">
        <f t="shared" si="0"/>
        <v>3323908</v>
      </c>
      <c r="I41" s="102"/>
      <c r="J41" s="102"/>
    </row>
    <row r="42" spans="1:10" s="106" customFormat="1" x14ac:dyDescent="0.25">
      <c r="A42" s="102" t="s">
        <v>60</v>
      </c>
      <c r="B42" s="103">
        <v>2162465</v>
      </c>
      <c r="C42" s="103"/>
      <c r="D42" s="103">
        <v>16016</v>
      </c>
      <c r="E42" s="103"/>
      <c r="F42" s="103">
        <v>399904</v>
      </c>
      <c r="G42" s="102"/>
      <c r="H42" s="103">
        <f t="shared" si="0"/>
        <v>2562369</v>
      </c>
      <c r="I42" s="102"/>
      <c r="J42" s="102"/>
    </row>
    <row r="43" spans="1:10" s="106" customFormat="1" x14ac:dyDescent="0.25">
      <c r="A43" s="102" t="s">
        <v>61</v>
      </c>
      <c r="B43" s="103">
        <v>5986423</v>
      </c>
      <c r="C43" s="103"/>
      <c r="D43" s="103">
        <v>39243</v>
      </c>
      <c r="E43" s="103"/>
      <c r="F43" s="103">
        <v>755524</v>
      </c>
      <c r="G43" s="102"/>
      <c r="H43" s="103">
        <f t="shared" si="0"/>
        <v>6741947</v>
      </c>
      <c r="I43" s="102"/>
      <c r="J43" s="102"/>
    </row>
    <row r="44" spans="1:10" s="106" customFormat="1" x14ac:dyDescent="0.25">
      <c r="A44" s="102" t="s">
        <v>62</v>
      </c>
      <c r="B44" s="103">
        <v>4186776</v>
      </c>
      <c r="C44" s="103"/>
      <c r="D44" s="103">
        <v>0</v>
      </c>
      <c r="E44" s="103"/>
      <c r="F44" s="103">
        <v>649086</v>
      </c>
      <c r="G44" s="102"/>
      <c r="H44" s="103">
        <f t="shared" si="0"/>
        <v>4835862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49730</v>
      </c>
      <c r="E46" s="103"/>
      <c r="F46" s="103">
        <v>-3309636</v>
      </c>
      <c r="G46" s="102"/>
      <c r="H46" s="103">
        <f t="shared" si="0"/>
        <v>1212037</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09" t="s">
        <v>55</v>
      </c>
      <c r="B48" s="103">
        <f>SUM(B39:B47)</f>
        <v>30032502</v>
      </c>
      <c r="C48" s="103"/>
      <c r="D48" s="103">
        <f>SUM(D39:D47)</f>
        <v>296186</v>
      </c>
      <c r="E48" s="103"/>
      <c r="F48" s="103">
        <f>SUM(F39:F47)</f>
        <v>806478</v>
      </c>
      <c r="G48" s="102"/>
      <c r="H48" s="103">
        <f>SUM(H39:H47)</f>
        <v>30838980</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15</v>
      </c>
      <c r="E55" s="105"/>
      <c r="F55" s="104">
        <f>+F36-F48+F53</f>
        <v>194724</v>
      </c>
      <c r="G55" s="105"/>
      <c r="H55" s="104">
        <f>+H36-H48+H53</f>
        <v>576221</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7" zoomScaleNormal="100" workbookViewId="0">
      <selection activeCell="G79" sqref="G79"/>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December 31, 2023</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25"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1"/>
      <c r="D10" s="115">
        <v>0</v>
      </c>
      <c r="E10" s="121"/>
      <c r="F10" s="105">
        <v>0</v>
      </c>
      <c r="G10" s="120"/>
      <c r="H10" s="105">
        <f>+B10+F10</f>
        <v>2447900</v>
      </c>
      <c r="I10" s="120"/>
      <c r="J10" s="102"/>
    </row>
    <row r="11" spans="1:10" s="106" customFormat="1" ht="16.5" x14ac:dyDescent="0.35">
      <c r="A11" s="102" t="s">
        <v>78</v>
      </c>
      <c r="B11" s="124">
        <v>0</v>
      </c>
      <c r="C11" s="121"/>
      <c r="D11" s="122">
        <v>0</v>
      </c>
      <c r="E11" s="122"/>
      <c r="F11" s="122">
        <v>0</v>
      </c>
      <c r="G11" s="120"/>
      <c r="H11" s="122">
        <f>+B11+F11</f>
        <v>0</v>
      </c>
      <c r="I11" s="120"/>
      <c r="J11" s="102"/>
    </row>
    <row r="12" spans="1:10" s="106" customFormat="1" ht="16.5" x14ac:dyDescent="0.35">
      <c r="A12" s="119" t="s">
        <v>55</v>
      </c>
      <c r="B12" s="122">
        <f>SUM(B10:B11)</f>
        <v>2447900</v>
      </c>
      <c r="C12" s="121"/>
      <c r="D12" s="122">
        <f>SUM(D10:D11)</f>
        <v>0</v>
      </c>
      <c r="E12" s="121"/>
      <c r="F12" s="122">
        <f>SUM(F10:F11)</f>
        <v>0</v>
      </c>
      <c r="G12" s="120"/>
      <c r="H12" s="122">
        <f>SUM(H10:H11)</f>
        <v>2447900</v>
      </c>
      <c r="I12" s="120"/>
      <c r="J12" s="102"/>
    </row>
    <row r="13" spans="1:10" s="106" customFormat="1" x14ac:dyDescent="0.25">
      <c r="A13" s="102"/>
      <c r="B13" s="121"/>
      <c r="C13" s="121"/>
      <c r="D13" s="121"/>
      <c r="E13" s="121"/>
      <c r="F13" s="121"/>
      <c r="G13" s="120"/>
      <c r="H13" s="121"/>
      <c r="I13" s="120"/>
      <c r="J13" s="102"/>
    </row>
    <row r="14" spans="1:10" s="106" customFormat="1" x14ac:dyDescent="0.25">
      <c r="A14" s="102" t="s">
        <v>56</v>
      </c>
      <c r="B14" s="121"/>
      <c r="C14" s="121"/>
      <c r="D14" s="121"/>
      <c r="E14" s="121"/>
      <c r="F14" s="121"/>
      <c r="G14" s="120"/>
      <c r="H14" s="121"/>
      <c r="I14" s="120"/>
      <c r="J14" s="102"/>
    </row>
    <row r="15" spans="1:10" s="106" customFormat="1" x14ac:dyDescent="0.25">
      <c r="A15" s="102" t="s">
        <v>79</v>
      </c>
      <c r="B15" s="121">
        <v>567554</v>
      </c>
      <c r="C15" s="121"/>
      <c r="D15" s="121">
        <v>0</v>
      </c>
      <c r="E15" s="121"/>
      <c r="F15" s="121">
        <v>0</v>
      </c>
      <c r="G15" s="120"/>
      <c r="H15" s="121">
        <f t="shared" ref="H15:H27" si="0">+B15+F15</f>
        <v>567554</v>
      </c>
      <c r="I15" s="120"/>
      <c r="J15" s="102"/>
    </row>
    <row r="16" spans="1:10" s="106" customFormat="1" x14ac:dyDescent="0.25">
      <c r="A16" s="102" t="s">
        <v>80</v>
      </c>
      <c r="B16" s="121">
        <v>6905</v>
      </c>
      <c r="C16" s="121"/>
      <c r="D16" s="121">
        <v>15</v>
      </c>
      <c r="E16" s="121"/>
      <c r="F16" s="121">
        <v>194724</v>
      </c>
      <c r="G16" s="120"/>
      <c r="H16" s="121">
        <f t="shared" si="0"/>
        <v>201629</v>
      </c>
      <c r="I16" s="120"/>
      <c r="J16" s="102"/>
    </row>
    <row r="17" spans="1:10" s="106" customFormat="1" x14ac:dyDescent="0.25">
      <c r="A17" s="102" t="s">
        <v>81</v>
      </c>
      <c r="B17" s="121">
        <v>192919</v>
      </c>
      <c r="C17" s="121"/>
      <c r="D17" s="121">
        <v>0</v>
      </c>
      <c r="E17" s="121"/>
      <c r="F17" s="121">
        <v>0</v>
      </c>
      <c r="G17" s="120"/>
      <c r="H17" s="121">
        <f t="shared" si="0"/>
        <v>192919</v>
      </c>
      <c r="I17" s="120"/>
      <c r="J17" s="102"/>
    </row>
    <row r="18" spans="1:10" s="106" customFormat="1" x14ac:dyDescent="0.25">
      <c r="A18" s="102" t="s">
        <v>82</v>
      </c>
      <c r="B18" s="121">
        <v>139323</v>
      </c>
      <c r="C18" s="121"/>
      <c r="D18" s="121">
        <v>0</v>
      </c>
      <c r="E18" s="121"/>
      <c r="F18" s="121">
        <v>0</v>
      </c>
      <c r="G18" s="120"/>
      <c r="H18" s="121">
        <f t="shared" si="0"/>
        <v>139323</v>
      </c>
      <c r="I18" s="120"/>
      <c r="J18" s="102"/>
    </row>
    <row r="19" spans="1:10" s="106" customFormat="1" x14ac:dyDescent="0.25">
      <c r="A19" s="102" t="s">
        <v>83</v>
      </c>
      <c r="B19" s="121">
        <v>26850</v>
      </c>
      <c r="C19" s="121"/>
      <c r="D19" s="121">
        <v>0</v>
      </c>
      <c r="E19" s="121"/>
      <c r="F19" s="121">
        <v>0</v>
      </c>
      <c r="G19" s="120"/>
      <c r="H19" s="121">
        <f t="shared" si="0"/>
        <v>26850</v>
      </c>
      <c r="I19" s="120"/>
      <c r="J19" s="102"/>
    </row>
    <row r="20" spans="1:10" s="106" customFormat="1" x14ac:dyDescent="0.25">
      <c r="A20" s="102" t="s">
        <v>88</v>
      </c>
      <c r="B20" s="121">
        <v>11815</v>
      </c>
      <c r="C20" s="121"/>
      <c r="D20" s="121">
        <v>0</v>
      </c>
      <c r="E20" s="121"/>
      <c r="F20" s="121">
        <v>0</v>
      </c>
      <c r="G20" s="120"/>
      <c r="H20" s="121">
        <f t="shared" si="0"/>
        <v>11815</v>
      </c>
      <c r="I20" s="120"/>
      <c r="J20" s="102"/>
    </row>
    <row r="21" spans="1:10" s="106" customFormat="1" x14ac:dyDescent="0.25">
      <c r="A21" s="102" t="s">
        <v>84</v>
      </c>
      <c r="B21" s="121">
        <v>14175</v>
      </c>
      <c r="C21" s="121"/>
      <c r="D21" s="121">
        <v>0</v>
      </c>
      <c r="E21" s="121"/>
      <c r="F21" s="121">
        <v>0</v>
      </c>
      <c r="G21" s="120"/>
      <c r="H21" s="121">
        <f t="shared" si="0"/>
        <v>14175</v>
      </c>
      <c r="I21" s="120"/>
      <c r="J21" s="102"/>
    </row>
    <row r="22" spans="1:10" s="106" customFormat="1" x14ac:dyDescent="0.25">
      <c r="A22" s="102" t="s">
        <v>85</v>
      </c>
      <c r="B22" s="121">
        <v>4000</v>
      </c>
      <c r="C22" s="121"/>
      <c r="D22" s="121">
        <v>0</v>
      </c>
      <c r="E22" s="121"/>
      <c r="F22" s="121">
        <v>0</v>
      </c>
      <c r="G22" s="120"/>
      <c r="H22" s="121">
        <f t="shared" si="0"/>
        <v>4000</v>
      </c>
      <c r="I22" s="120"/>
      <c r="J22" s="102"/>
    </row>
    <row r="23" spans="1:10" s="106" customFormat="1" x14ac:dyDescent="0.25">
      <c r="A23" s="102" t="s">
        <v>86</v>
      </c>
      <c r="B23" s="121">
        <v>3000</v>
      </c>
      <c r="C23" s="121"/>
      <c r="D23" s="121">
        <v>0</v>
      </c>
      <c r="E23" s="121"/>
      <c r="F23" s="121">
        <v>0</v>
      </c>
      <c r="G23" s="120"/>
      <c r="H23" s="121">
        <f t="shared" si="0"/>
        <v>3000</v>
      </c>
      <c r="I23" s="120"/>
      <c r="J23" s="102"/>
    </row>
    <row r="24" spans="1:10" s="106" customFormat="1" x14ac:dyDescent="0.25">
      <c r="A24" s="102" t="s">
        <v>87</v>
      </c>
      <c r="B24" s="121">
        <f>199300+100073</f>
        <v>299373</v>
      </c>
      <c r="C24" s="121"/>
      <c r="D24" s="121">
        <v>0</v>
      </c>
      <c r="E24" s="121"/>
      <c r="F24" s="121">
        <v>0</v>
      </c>
      <c r="G24" s="120"/>
      <c r="H24" s="121">
        <f t="shared" si="0"/>
        <v>299373</v>
      </c>
      <c r="I24" s="120"/>
      <c r="J24" s="102"/>
    </row>
    <row r="25" spans="1:10" s="106" customFormat="1" x14ac:dyDescent="0.25">
      <c r="A25" s="102" t="s">
        <v>63</v>
      </c>
      <c r="B25" s="121">
        <v>42000</v>
      </c>
      <c r="C25" s="121"/>
      <c r="D25" s="121">
        <v>0</v>
      </c>
      <c r="E25" s="121"/>
      <c r="F25" s="121">
        <v>0</v>
      </c>
      <c r="G25" s="120"/>
      <c r="H25" s="121">
        <f t="shared" si="0"/>
        <v>42000</v>
      </c>
      <c r="I25" s="120"/>
      <c r="J25" s="102"/>
    </row>
    <row r="26" spans="1:10" s="106" customFormat="1" x14ac:dyDescent="0.25">
      <c r="A26" s="102" t="s">
        <v>64</v>
      </c>
      <c r="B26" s="121">
        <v>1514880</v>
      </c>
      <c r="C26" s="121"/>
      <c r="D26" s="121">
        <v>0</v>
      </c>
      <c r="E26" s="121"/>
      <c r="F26" s="121">
        <v>0</v>
      </c>
      <c r="G26" s="120"/>
      <c r="H26" s="121">
        <f t="shared" si="0"/>
        <v>1514880</v>
      </c>
      <c r="I26" s="120"/>
      <c r="J26" s="102"/>
    </row>
    <row r="27" spans="1:10" s="106" customFormat="1" ht="16.5" x14ac:dyDescent="0.35">
      <c r="A27" s="102" t="s">
        <v>89</v>
      </c>
      <c r="B27" s="122">
        <v>6603</v>
      </c>
      <c r="C27" s="121"/>
      <c r="D27" s="122">
        <v>0</v>
      </c>
      <c r="E27" s="121"/>
      <c r="F27" s="122">
        <v>0</v>
      </c>
      <c r="G27" s="123"/>
      <c r="H27" s="122">
        <f t="shared" si="0"/>
        <v>6603</v>
      </c>
      <c r="I27" s="120"/>
      <c r="J27" s="102"/>
    </row>
    <row r="28" spans="1:10" s="106" customFormat="1" ht="16.5" x14ac:dyDescent="0.35">
      <c r="A28" s="119" t="s">
        <v>55</v>
      </c>
      <c r="B28" s="122">
        <f>SUM(B15:B27)</f>
        <v>2829397</v>
      </c>
      <c r="C28" s="121"/>
      <c r="D28" s="122">
        <f>SUM(D15:D27)</f>
        <v>15</v>
      </c>
      <c r="E28" s="121"/>
      <c r="F28" s="122">
        <f>SUM(F15:F27)</f>
        <v>194724</v>
      </c>
      <c r="G28" s="120"/>
      <c r="H28" s="122">
        <f>SUM(H15:H27)</f>
        <v>3024121</v>
      </c>
      <c r="I28" s="120"/>
      <c r="J28" s="102"/>
    </row>
    <row r="29" spans="1:10" s="102" customFormat="1" ht="3.75" customHeight="1" x14ac:dyDescent="0.2">
      <c r="B29" s="121"/>
      <c r="C29" s="121"/>
      <c r="D29" s="121"/>
      <c r="E29" s="121"/>
      <c r="F29" s="121"/>
      <c r="G29" s="120"/>
      <c r="H29" s="121"/>
      <c r="I29" s="120"/>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21"/>
      <c r="C34" s="121"/>
      <c r="D34" s="121"/>
      <c r="E34" s="121"/>
      <c r="F34" s="121"/>
      <c r="G34" s="120"/>
      <c r="H34" s="121"/>
      <c r="I34" s="120"/>
    </row>
    <row r="35" spans="1:10" s="102" customFormat="1" x14ac:dyDescent="0.35">
      <c r="A35" s="102" t="s">
        <v>396</v>
      </c>
      <c r="B35" s="104">
        <f>+B12-B28+B33</f>
        <v>-381497</v>
      </c>
      <c r="C35" s="105"/>
      <c r="D35" s="104">
        <f>+D12-D28+D33</f>
        <v>-15</v>
      </c>
      <c r="E35" s="105"/>
      <c r="F35" s="104">
        <f>+F12-F28+F33</f>
        <v>-194724</v>
      </c>
      <c r="G35" s="105"/>
      <c r="H35" s="104">
        <f>+H12-H28+H33</f>
        <v>-576221</v>
      </c>
    </row>
    <row r="36" spans="1:10" s="102" customFormat="1" ht="3.75" customHeight="1" x14ac:dyDescent="0.2">
      <c r="B36" s="121"/>
      <c r="C36" s="121"/>
      <c r="D36" s="121"/>
      <c r="E36" s="121"/>
      <c r="F36" s="121"/>
      <c r="G36" s="120"/>
      <c r="H36" s="121"/>
      <c r="I36" s="120"/>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G79" sqref="G79"/>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1" t="s">
        <v>0</v>
      </c>
      <c r="B1" s="131"/>
      <c r="C1" s="131"/>
      <c r="D1" s="131"/>
      <c r="E1" s="131"/>
      <c r="F1" s="131"/>
      <c r="G1" s="131"/>
      <c r="H1" s="131"/>
    </row>
    <row r="2" spans="1:8" x14ac:dyDescent="0.25">
      <c r="A2" s="132" t="s">
        <v>393</v>
      </c>
      <c r="B2" s="132"/>
      <c r="C2" s="132"/>
      <c r="D2" s="132"/>
      <c r="E2" s="132"/>
      <c r="F2" s="132"/>
      <c r="G2" s="132"/>
      <c r="H2" s="132"/>
    </row>
    <row r="3" spans="1:8" x14ac:dyDescent="0.25">
      <c r="A3" s="133" t="str">
        <f>+'Statement of Net Position'!A3:E3</f>
        <v>December 31, 2023</v>
      </c>
      <c r="B3" s="133"/>
      <c r="C3" s="133"/>
      <c r="D3" s="133"/>
      <c r="E3" s="133"/>
      <c r="F3" s="133"/>
      <c r="G3" s="133"/>
      <c r="H3" s="133"/>
    </row>
    <row r="5" spans="1:8" s="41" customFormat="1" ht="18" customHeight="1" x14ac:dyDescent="0.25">
      <c r="A5" s="39" t="s">
        <v>95</v>
      </c>
      <c r="B5" s="135" t="s">
        <v>361</v>
      </c>
      <c r="C5" s="135"/>
      <c r="D5" s="135"/>
      <c r="E5" s="135"/>
      <c r="F5" s="135"/>
      <c r="G5" s="135"/>
      <c r="H5" s="135"/>
    </row>
    <row r="6" spans="1:8" s="41" customFormat="1" ht="18" customHeight="1" x14ac:dyDescent="0.25">
      <c r="A6" s="39" t="s">
        <v>96</v>
      </c>
      <c r="B6" s="135" t="s">
        <v>362</v>
      </c>
      <c r="C6" s="135"/>
      <c r="D6" s="135"/>
      <c r="E6" s="135"/>
      <c r="F6" s="135"/>
      <c r="G6" s="135"/>
      <c r="H6" s="135"/>
    </row>
    <row r="7" spans="1:8" s="41" customFormat="1" ht="18" customHeight="1" x14ac:dyDescent="0.25">
      <c r="A7" s="39" t="s">
        <v>97</v>
      </c>
      <c r="B7" s="58" t="s">
        <v>98</v>
      </c>
      <c r="C7" s="40"/>
      <c r="D7" s="40"/>
      <c r="E7" s="40"/>
      <c r="F7" s="40"/>
      <c r="G7" s="40"/>
      <c r="H7" s="40"/>
    </row>
    <row r="8" spans="1:8" s="41" customFormat="1" ht="18" customHeight="1" x14ac:dyDescent="0.25">
      <c r="A8" s="39" t="s">
        <v>99</v>
      </c>
      <c r="B8" s="135" t="s">
        <v>363</v>
      </c>
      <c r="C8" s="135"/>
      <c r="D8" s="135"/>
      <c r="E8" s="135"/>
      <c r="F8" s="135"/>
      <c r="G8" s="135"/>
      <c r="H8" s="135"/>
    </row>
    <row r="9" spans="1:8" s="41" customFormat="1" ht="36" customHeight="1" x14ac:dyDescent="0.25">
      <c r="A9" s="39"/>
      <c r="B9" s="134" t="s">
        <v>197</v>
      </c>
      <c r="C9" s="134"/>
      <c r="D9" s="134"/>
      <c r="E9" s="134"/>
      <c r="F9" s="134"/>
      <c r="G9" s="134"/>
      <c r="H9" s="134"/>
    </row>
    <row r="10" spans="1:8" s="41" customFormat="1" ht="36" customHeight="1" x14ac:dyDescent="0.25">
      <c r="A10" s="39" t="s">
        <v>100</v>
      </c>
      <c r="B10" s="134" t="s">
        <v>274</v>
      </c>
      <c r="C10" s="134"/>
      <c r="D10" s="134"/>
      <c r="E10" s="134"/>
      <c r="F10" s="134"/>
      <c r="G10" s="134"/>
      <c r="H10" s="134"/>
    </row>
    <row r="11" spans="1:8" s="41" customFormat="1" ht="18" customHeight="1" x14ac:dyDescent="0.25">
      <c r="A11" s="39" t="s">
        <v>101</v>
      </c>
      <c r="B11" s="134" t="s">
        <v>280</v>
      </c>
      <c r="C11" s="134"/>
      <c r="D11" s="134"/>
      <c r="E11" s="134"/>
      <c r="F11" s="134"/>
      <c r="G11" s="134"/>
      <c r="H11" s="134"/>
    </row>
    <row r="12" spans="1:8" s="41" customFormat="1" ht="36" customHeight="1" x14ac:dyDescent="0.25">
      <c r="A12" s="39" t="s">
        <v>102</v>
      </c>
      <c r="B12" s="134" t="s">
        <v>380</v>
      </c>
      <c r="C12" s="134"/>
      <c r="D12" s="134"/>
      <c r="E12" s="134"/>
      <c r="F12" s="134"/>
      <c r="G12" s="134"/>
      <c r="H12" s="134"/>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4" t="s">
        <v>364</v>
      </c>
      <c r="C15" s="134"/>
      <c r="D15" s="134"/>
      <c r="E15" s="134"/>
      <c r="F15" s="134"/>
      <c r="G15" s="134"/>
      <c r="H15" s="134"/>
    </row>
    <row r="16" spans="1:8" s="41" customFormat="1" ht="43.5" customHeight="1" x14ac:dyDescent="0.25">
      <c r="A16" s="42" t="s">
        <v>108</v>
      </c>
      <c r="B16" s="134" t="s">
        <v>351</v>
      </c>
      <c r="C16" s="134"/>
      <c r="D16" s="134"/>
      <c r="E16" s="134"/>
      <c r="F16" s="134"/>
      <c r="G16" s="134"/>
      <c r="H16" s="134"/>
    </row>
    <row r="17" spans="1:8" s="41" customFormat="1" ht="18" customHeight="1" x14ac:dyDescent="0.25">
      <c r="A17" s="39" t="s">
        <v>109</v>
      </c>
      <c r="B17" s="58" t="s">
        <v>253</v>
      </c>
    </row>
    <row r="18" spans="1:8" s="41" customFormat="1" ht="18" customHeight="1" x14ac:dyDescent="0.25">
      <c r="A18" s="39" t="s">
        <v>193</v>
      </c>
      <c r="B18" s="135" t="s">
        <v>352</v>
      </c>
      <c r="C18" s="135"/>
      <c r="D18" s="135"/>
      <c r="E18" s="135"/>
      <c r="F18" s="135"/>
      <c r="G18" s="135"/>
      <c r="H18" s="135"/>
    </row>
    <row r="19" spans="1:8" s="41" customFormat="1" ht="18" customHeight="1" x14ac:dyDescent="0.25">
      <c r="A19" s="42" t="s">
        <v>260</v>
      </c>
      <c r="B19" s="135" t="s">
        <v>110</v>
      </c>
      <c r="C19" s="135"/>
      <c r="D19" s="135"/>
      <c r="E19" s="135"/>
      <c r="F19" s="135"/>
      <c r="G19" s="135"/>
      <c r="H19" s="135"/>
    </row>
    <row r="20" spans="1:8" s="41" customFormat="1" ht="36" customHeight="1" x14ac:dyDescent="0.25">
      <c r="A20" s="42" t="s">
        <v>262</v>
      </c>
      <c r="B20" s="134" t="s">
        <v>247</v>
      </c>
      <c r="C20" s="134"/>
      <c r="D20" s="134"/>
      <c r="E20" s="134"/>
      <c r="F20" s="134"/>
      <c r="G20" s="134"/>
      <c r="H20" s="134"/>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4" t="s">
        <v>299</v>
      </c>
      <c r="C25" s="134"/>
      <c r="D25" s="134"/>
      <c r="E25" s="134"/>
      <c r="F25" s="134"/>
      <c r="G25" s="134"/>
      <c r="H25" s="134"/>
    </row>
    <row r="26" spans="1:8" ht="36" customHeight="1" x14ac:dyDescent="0.25">
      <c r="A26" s="43" t="s">
        <v>298</v>
      </c>
      <c r="B26" s="134" t="s">
        <v>300</v>
      </c>
      <c r="C26" s="134"/>
      <c r="D26" s="134"/>
      <c r="E26" s="134"/>
      <c r="F26" s="134"/>
      <c r="G26" s="134"/>
      <c r="H26" s="134"/>
    </row>
    <row r="27" spans="1:8" ht="36" customHeight="1" x14ac:dyDescent="0.25">
      <c r="A27" s="43"/>
    </row>
  </sheetData>
  <mergeCells count="17">
    <mergeCell ref="B26:H26"/>
    <mergeCell ref="B5:H5"/>
    <mergeCell ref="B6:H6"/>
    <mergeCell ref="B19:H19"/>
    <mergeCell ref="B10:H10"/>
    <mergeCell ref="B8:H8"/>
    <mergeCell ref="B25:H25"/>
    <mergeCell ref="B15:H15"/>
    <mergeCell ref="B20:H20"/>
    <mergeCell ref="B16:H16"/>
    <mergeCell ref="B18:H18"/>
    <mergeCell ref="A1:H1"/>
    <mergeCell ref="A2:H2"/>
    <mergeCell ref="A3:H3"/>
    <mergeCell ref="B12:H12"/>
    <mergeCell ref="B9:H9"/>
    <mergeCell ref="B11:H11"/>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abSelected="1" zoomScaleNormal="100" workbookViewId="0">
      <selection activeCell="Q9" sqref="Q9"/>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December 31, 2023</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44926</v>
      </c>
    </row>
    <row r="9" spans="1:11" x14ac:dyDescent="0.25">
      <c r="B9" s="22" t="s">
        <v>33</v>
      </c>
      <c r="C9" s="56"/>
      <c r="D9" s="23" t="s">
        <v>35</v>
      </c>
      <c r="E9" s="56"/>
      <c r="F9" s="22" t="s">
        <v>33</v>
      </c>
      <c r="G9" s="56"/>
      <c r="H9" s="24">
        <v>44926</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2667222.92</v>
      </c>
      <c r="F11" s="3">
        <f t="shared" ref="F11:F23" si="0">+(D11-B11)/B11+1</f>
        <v>0.4999999850031287</v>
      </c>
      <c r="H11" s="32">
        <f>+'Rev, Exp, Cha Unrestricted'!H10+'Rev, Exp, Cha Federal Restrict'!H10+'Rev, Exp, Cha State Restr '!H10+'Rev, Exp, Cha Local Restr '!H10+'Rev, Exp, Cha Debt Service'!H10</f>
        <v>2193900</v>
      </c>
      <c r="J11" s="3">
        <f>+(D11-H11)/H11+1</f>
        <v>1.2157449838187702</v>
      </c>
      <c r="K11" s="16" t="s">
        <v>111</v>
      </c>
    </row>
    <row r="12" spans="1:11" x14ac:dyDescent="0.25">
      <c r="A12" s="4" t="s">
        <v>92</v>
      </c>
      <c r="B12" s="25"/>
      <c r="C12" s="6"/>
      <c r="D12" s="32"/>
      <c r="F12" s="3"/>
      <c r="H12" s="32"/>
      <c r="J12" s="3"/>
    </row>
    <row r="13" spans="1:11" x14ac:dyDescent="0.25">
      <c r="A13" s="10" t="s">
        <v>93</v>
      </c>
      <c r="B13" s="5">
        <f>+'Rev, Exp, Cha Unrestricted'!B12</f>
        <v>535421</v>
      </c>
      <c r="C13" s="6"/>
      <c r="D13" s="5">
        <f>+'Rev, Exp, Cha Unrestricted'!D12</f>
        <v>535422</v>
      </c>
      <c r="F13" s="3">
        <f t="shared" si="0"/>
        <v>1.0000018676891642</v>
      </c>
      <c r="H13" s="5">
        <f>+'Rev, Exp, Cha Unrestricted'!H12</f>
        <v>476388.82</v>
      </c>
      <c r="J13" s="3">
        <f>+(D13-H13)/H13+1</f>
        <v>1.1239180634003962</v>
      </c>
      <c r="K13" s="16" t="s">
        <v>112</v>
      </c>
    </row>
    <row r="14" spans="1:11" x14ac:dyDescent="0.25">
      <c r="A14" s="10" t="s">
        <v>94</v>
      </c>
      <c r="B14" s="5">
        <f>+'Rev, Exp, Cha Unrestricted'!B13</f>
        <v>200423</v>
      </c>
      <c r="C14" s="6"/>
      <c r="D14" s="5">
        <f>+'Rev, Exp, Cha Unrestricted'!D13</f>
        <v>139908.32</v>
      </c>
      <c r="F14" s="3">
        <f t="shared" si="0"/>
        <v>0.69806519211866913</v>
      </c>
      <c r="H14" s="5">
        <f>+'Rev, Exp, Cha Unrestricted'!H13</f>
        <v>173443.63</v>
      </c>
      <c r="J14" s="3">
        <f>+(D14-H14)/H14+1</f>
        <v>0.8066500914446959</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1538379.5</v>
      </c>
      <c r="F16" s="3">
        <f t="shared" si="0"/>
        <v>0.1119505859363914</v>
      </c>
      <c r="H16" s="5">
        <f>+'Rev, Exp, Cha Unrestricted'!H15+'Rev, Exp, Cha Federal Restrict'!H15+'Rev, Exp, Cha State Restr '!H15+'Rev, Exp, Cha Local Restr '!H15+'Rev, Exp, Cha Debt Service'!H12</f>
        <v>1479191.15</v>
      </c>
      <c r="J16" s="3">
        <f>+(D16-H16)/H16+1</f>
        <v>1.0400139968387454</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321198.64</v>
      </c>
      <c r="F17" s="3">
        <f t="shared" si="0"/>
        <v>0.11271076862612994</v>
      </c>
      <c r="H17" s="5">
        <f>+'Rev, Exp, Cha Unrestricted'!H16+'Rev, Exp, Cha Federal Restrict'!H16+'Rev, Exp, Cha State Restr '!H16+'Rev, Exp, Cha Local Restr '!H16+'Rev, Exp, Cha Debt Service'!H13</f>
        <v>287616.86</v>
      </c>
      <c r="J17" s="3">
        <f>+(D17-H17)/H17+1</f>
        <v>1.1167587324331405</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2585533.04</v>
      </c>
      <c r="F19" s="3">
        <f t="shared" si="0"/>
        <v>0.6046450646696524</v>
      </c>
      <c r="H19" s="5">
        <f>+'Rev, Exp, Cha Unrestricted'!H18+'Rev, Exp, Cha Federal Restrict'!H18+'Rev, Exp, Cha State Restr '!H18+'Rev, Exp, Cha Local Restr '!H18+'Rev, Exp, Cha Debt Service'!H15</f>
        <v>2830813.92</v>
      </c>
      <c r="J19" s="3">
        <f>+(D19-H19)/H19+1</f>
        <v>0.91335323093225429</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585150.94999999995</v>
      </c>
      <c r="F20" s="3">
        <f t="shared" si="0"/>
        <v>0.36759984671585577</v>
      </c>
      <c r="H20" s="5">
        <f>+'Rev, Exp, Cha Unrestricted'!H19+'Rev, Exp, Cha Federal Restrict'!H19+'Rev, Exp, Cha State Restr '!H19+'Rev, Exp, Cha Local Restr '!H19+'Rev, Exp, Cha Debt Service'!H16</f>
        <v>518636.18</v>
      </c>
      <c r="J20" s="3">
        <f>+(D20-H20)/H20+1</f>
        <v>1.1282493828332609</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3303691.4</v>
      </c>
      <c r="F23" s="3">
        <f t="shared" si="0"/>
        <v>0.66267966635054054</v>
      </c>
      <c r="H23" s="5">
        <f>+'Rev, Exp, Cha Unrestricted'!H22+'Rev, Exp, Cha Federal Restrict'!H22+'Rev, Exp, Cha State Restr '!H22+'Rev, Exp, Cha Local Restr '!H22+'Rev, Exp, Cha Debt Service'!H19</f>
        <v>3326609.11</v>
      </c>
      <c r="J23" s="3">
        <f>+(D23-H23)/H23+1</f>
        <v>0.99311078962325094</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-124502.91</v>
      </c>
      <c r="F26" s="3">
        <f t="shared" ref="F26:F33" si="1">+(D26-B26)/B26+1</f>
        <v>0.41500970000000004</v>
      </c>
      <c r="H26" s="5">
        <f>+'Rev, Exp, Cha Unrestricted'!H25+'Rev, Exp, Cha Federal Restrict'!H25+'Rev, Exp, Cha State Restr '!H25+'Rev, Exp, Cha Local Restr '!H25+'Rev, Exp, Cha Debt Service'!H22</f>
        <v>-112362.66</v>
      </c>
      <c r="J26" s="3">
        <f t="shared" ref="J26:J33" si="2">+(D26-H26)/H26+1</f>
        <v>1.1080452349561678</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207497.69</v>
      </c>
      <c r="F28" s="3">
        <f t="shared" si="1"/>
        <v>0.47903022425789887</v>
      </c>
      <c r="H28" s="5">
        <f>+'Rev, Exp, Cha Unrestricted'!H27+'Rev, Exp, Cha Federal Restrict'!H27+'Rev, Exp, Cha State Restr '!H27+'Rev, Exp, Cha Local Restr '!H27+'Rev, Exp, Cha Debt Service'!H24</f>
        <v>217817.86</v>
      </c>
      <c r="J28" s="3">
        <f t="shared" si="2"/>
        <v>0.95262018458908748</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800001</v>
      </c>
      <c r="C30" s="6"/>
      <c r="D30" s="5">
        <f>+'Rev, Exp, Cha Unrestricted'!D28+'Rev, Exp, Cha Federal Restrict'!D28+'Rev, Exp, Cha State Restr '!D28+'Rev, Exp, Cha Local Restr '!D28+'Rev, Exp, Cha Debt Service'!D26</f>
        <v>203741.41</v>
      </c>
      <c r="F30" s="3">
        <f t="shared" si="1"/>
        <v>0.2546764441544449</v>
      </c>
      <c r="H30" s="5">
        <f>+'Rev, Exp, Cha Unrestricted'!H28+'Rev, Exp, Cha Federal Restrict'!H28+'Rev, Exp, Cha State Restr '!H28+'Rev, Exp, Cha Local Restr '!H28+'Rev, Exp, Cha Debt Service'!H26</f>
        <v>104034.91</v>
      </c>
      <c r="J30" s="3">
        <f t="shared" si="2"/>
        <v>1.9583946388765079</v>
      </c>
      <c r="K30" s="16" t="s">
        <v>127</v>
      </c>
    </row>
    <row r="31" spans="1:13" x14ac:dyDescent="0.25">
      <c r="A31" s="4" t="s">
        <v>64</v>
      </c>
      <c r="B31" s="6">
        <f>+'Rev, Exp, Cha Auxiliary'!B13</f>
        <v>2447900</v>
      </c>
      <c r="C31" s="6"/>
      <c r="D31" s="5">
        <f>+'Rev, Exp, Cha Auxiliary'!D13</f>
        <v>587237.22</v>
      </c>
      <c r="F31" s="3">
        <f t="shared" si="1"/>
        <v>0.23989428489725884</v>
      </c>
      <c r="H31" s="5">
        <f>+'Rev, Exp, Cha Auxiliary'!H13</f>
        <v>514510.92</v>
      </c>
      <c r="J31" s="3">
        <f t="shared" si="2"/>
        <v>1.1413503526805613</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33150.660000000003</v>
      </c>
      <c r="F32" s="3">
        <f t="shared" si="1"/>
        <v>0.29117839262187095</v>
      </c>
      <c r="H32" s="5">
        <f>+'Rev, Exp, Cha Unrestricted'!H30+'Rev, Exp, Cha Federal Restrict'!H30+'Rev, Exp, Cha State Restr '!H30+'Rev, Exp, Cha Local Restr '!H30+'Rev, Exp, Cha Debt Service'!H28</f>
        <v>42216.73</v>
      </c>
      <c r="J32" s="3">
        <f t="shared" si="2"/>
        <v>0.78524935493582759</v>
      </c>
      <c r="K32" s="16" t="s">
        <v>129</v>
      </c>
    </row>
    <row r="33" spans="1:11" x14ac:dyDescent="0.25">
      <c r="A33" s="4" t="s">
        <v>63</v>
      </c>
      <c r="B33" s="6">
        <f>+'Rev, Exp, Cha Unrestricted'!B31+'Rev, Exp, Cha Federal Restrict'!B31+'Rev, Exp, Cha State Restr '!B31+'Rev, Exp, Cha Local Restr '!B31+'Rev, Exp, Cha Debt Service'!B29</f>
        <v>3254261</v>
      </c>
      <c r="C33" s="6"/>
      <c r="D33" s="5">
        <f>+'Rev, Exp, Cha Unrestricted'!D31+'Rev, Exp, Cha Federal Restrict'!D31+'Rev, Exp, Cha State Restr '!D31+'Rev, Exp, Cha Local Restr '!D31+'Rev, Exp, Cha Debt Service'!D29</f>
        <v>3300758.5</v>
      </c>
      <c r="F33" s="3">
        <f t="shared" si="1"/>
        <v>1.0142881901605312</v>
      </c>
      <c r="H33" s="5">
        <f>+'Rev, Exp, Cha Unrestricted'!H31+'Rev, Exp, Cha Federal Restrict'!H31+'Rev, Exp, Cha State Restr '!H31+'Rev, Exp, Cha Local Restr '!H31+'Rev, Exp, Cha Debt Service'!H29</f>
        <v>2822601.61</v>
      </c>
      <c r="J33" s="3">
        <f t="shared" si="2"/>
        <v>1.1694028970670076</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1033150</v>
      </c>
      <c r="C35" s="6"/>
      <c r="D35" s="5">
        <f>+'Rev, Exp, Cha Unrestricted'!D33+'Rev, Exp, Cha Federal Restrict'!D33+'Rev, Exp, Cha State Restr '!D33+'Rev, Exp, Cha Local Restr '!D33+'Rev, Exp, Cha Debt Service'!D31</f>
        <v>2375059.83</v>
      </c>
      <c r="F35" s="3">
        <f t="shared" ref="F35:F38" si="3">+(D35-B35)/B35+1</f>
        <v>2.2988528577650875</v>
      </c>
      <c r="H35" s="5">
        <f>+'Rev, Exp, Cha Unrestricted'!H33+'Rev, Exp, Cha Federal Restrict'!H33+'Rev, Exp, Cha State Restr '!H33+'Rev, Exp, Cha Local Restr '!H33+'Rev, Exp, Cha Debt Service'!H31</f>
        <v>1051426.17</v>
      </c>
      <c r="J35" s="3">
        <f t="shared" ref="J35:J38" si="4">+(D35-H35)/H35+1</f>
        <v>2.2588935845110267</v>
      </c>
      <c r="K35" s="16" t="s">
        <v>140</v>
      </c>
    </row>
    <row r="36" spans="1:11" x14ac:dyDescent="0.25">
      <c r="A36" s="10" t="s">
        <v>52</v>
      </c>
      <c r="B36" s="6">
        <f>+'Rev, Exp, Cha Unrestricted'!B34+'Rev, Exp, Cha Federal Restrict'!B34+'Rev, Exp, Cha State Restr '!B34+'Rev, Exp, Cha Local Restr '!B34+'Rev, Exp, Cha Debt Service'!B32</f>
        <v>34244</v>
      </c>
      <c r="C36" s="6"/>
      <c r="D36" s="5">
        <f>+'Rev, Exp, Cha Unrestricted'!D34+'Rev, Exp, Cha Federal Restrict'!D34+'Rev, Exp, Cha State Restr '!D34+'Rev, Exp, Cha Local Restr '!D34+'Rev, Exp, Cha Debt Service'!D32</f>
        <v>189587.64</v>
      </c>
      <c r="F36" s="3">
        <f t="shared" si="3"/>
        <v>5.5363754234318421</v>
      </c>
      <c r="H36" s="5">
        <f>+'Rev, Exp, Cha Unrestricted'!H34+'Rev, Exp, Cha Federal Restrict'!H34+'Rev, Exp, Cha State Restr '!H34+'Rev, Exp, Cha Local Restr '!H34+'Rev, Exp, Cha Debt Service'!H32</f>
        <v>107991.01</v>
      </c>
      <c r="J36" s="3">
        <f t="shared" si="4"/>
        <v>1.7555872474940277</v>
      </c>
      <c r="K36" s="16" t="s">
        <v>141</v>
      </c>
    </row>
    <row r="37" spans="1:11" ht="16.5" x14ac:dyDescent="0.35">
      <c r="A37" s="10" t="s">
        <v>54</v>
      </c>
      <c r="B37" s="26">
        <f>+'Rev, Exp, Cha Unrestricted'!B35+'Rev, Exp, Cha Federal Restrict'!B35+'Rev, Exp, Cha State Restr '!B35+'Rev, Exp, Cha Local Restr '!B35+'Rev, Exp, Cha Debt Service'!B33</f>
        <v>383490</v>
      </c>
      <c r="C37" s="6"/>
      <c r="D37" s="8">
        <f>+'Rev, Exp, Cha Unrestricted'!D35+'Rev, Exp, Cha Federal Restrict'!D35+'Rev, Exp, Cha State Restr '!D35+'Rev, Exp, Cha Local Restr '!D35+'Rev, Exp, Cha Debt Service'!D33</f>
        <v>302148.54000000004</v>
      </c>
      <c r="F37" s="3">
        <f t="shared" si="3"/>
        <v>0.78789157474771188</v>
      </c>
      <c r="H37" s="8">
        <f>+'Rev, Exp, Cha Unrestricted'!H35+'Rev, Exp, Cha Federal Restrict'!H35+'Rev, Exp, Cha State Restr '!H35+'Rev, Exp, Cha Local Restr '!H35+'Rev, Exp, Cha Debt Service'!H33</f>
        <v>36303.599999999999</v>
      </c>
      <c r="J37" s="3">
        <f t="shared" si="4"/>
        <v>8.3228258354543367</v>
      </c>
      <c r="K37" s="16" t="s">
        <v>142</v>
      </c>
    </row>
    <row r="38" spans="1:11" ht="16.5" x14ac:dyDescent="0.35">
      <c r="A38" s="56" t="s">
        <v>55</v>
      </c>
      <c r="B38" s="26">
        <f>SUM(B11:B37)</f>
        <v>41494986</v>
      </c>
      <c r="C38" s="6"/>
      <c r="D38" s="8">
        <f>SUM(D11:D37)</f>
        <v>18751185.350000001</v>
      </c>
      <c r="F38" s="3">
        <f t="shared" si="3"/>
        <v>0.45189038863635234</v>
      </c>
      <c r="H38" s="8">
        <f>SUM(H11:H37)</f>
        <v>16071139.819999998</v>
      </c>
      <c r="J38" s="3">
        <f t="shared" si="4"/>
        <v>1.1667613846943685</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12002229</v>
      </c>
      <c r="C41" s="6"/>
      <c r="D41" s="5">
        <f>+'Rev, Exp, Cha Unrestricted'!D39+'Rev, Exp, Cha Federal Restrict'!D39+'Rev, Exp, Cha State Restr '!D39+'Rev, Exp, Cha Local Restr '!D39</f>
        <v>5032416.99</v>
      </c>
      <c r="F41" s="3">
        <f t="shared" ref="F41:F52" si="5">+(D41-B41)/B41+1</f>
        <v>0.41929019934547163</v>
      </c>
      <c r="H41" s="5">
        <f>+'Rev, Exp, Cha Unrestricted'!H39+'Rev, Exp, Cha Federal Restrict'!H39+'Rev, Exp, Cha State Restr '!H39+'Rev, Exp, Cha Local Restr '!H39</f>
        <v>4478121.42</v>
      </c>
      <c r="J41" s="3">
        <f t="shared" ref="J41:J49" si="6">+(D41-H41)/H41+1</f>
        <v>1.1237785933012956</v>
      </c>
      <c r="K41" s="16" t="s">
        <v>143</v>
      </c>
    </row>
    <row r="42" spans="1:11" x14ac:dyDescent="0.25">
      <c r="A42" s="4" t="s">
        <v>58</v>
      </c>
      <c r="B42" s="6">
        <f>+'Rev, Exp, Cha Unrestricted'!B40+'Rev, Exp, Cha Federal Restrict'!B40+'Rev, Exp, Cha State Restr '!B40+'Rev, Exp, Cha Local Restr '!B40</f>
        <v>516211</v>
      </c>
      <c r="C42" s="6"/>
      <c r="D42" s="5">
        <f>+'Rev, Exp, Cha Unrestricted'!D40+'Rev, Exp, Cha Federal Restrict'!D40+'Rev, Exp, Cha State Restr '!D40+'Rev, Exp, Cha Local Restr '!D40</f>
        <v>97291.56</v>
      </c>
      <c r="F42" s="3">
        <f t="shared" si="5"/>
        <v>0.18847246571653842</v>
      </c>
      <c r="H42" s="5">
        <f>+'Rev, Exp, Cha Unrestricted'!H40+'Rev, Exp, Cha Federal Restrict'!H40+'Rev, Exp, Cha State Restr '!H40+'Rev, Exp, Cha Local Restr '!H40</f>
        <v>68271.899999999994</v>
      </c>
      <c r="J42" s="3">
        <f t="shared" si="6"/>
        <v>1.4250600906082884</v>
      </c>
      <c r="K42" s="16" t="s">
        <v>146</v>
      </c>
    </row>
    <row r="43" spans="1:11" x14ac:dyDescent="0.25">
      <c r="A43" s="4" t="s">
        <v>59</v>
      </c>
      <c r="B43" s="6">
        <f>+'Rev, Exp, Cha Unrestricted'!B41+'Rev, Exp, Cha Federal Restrict'!B41+'Rev, Exp, Cha State Restr '!B41+'Rev, Exp, Cha Local Restr '!B41</f>
        <v>3325985</v>
      </c>
      <c r="C43" s="6"/>
      <c r="D43" s="5">
        <f>+'Rev, Exp, Cha Unrestricted'!D41+'Rev, Exp, Cha Federal Restrict'!D41+'Rev, Exp, Cha State Restr '!D41+'Rev, Exp, Cha Local Restr '!D41</f>
        <v>1206144.2400000002</v>
      </c>
      <c r="F43" s="3">
        <f t="shared" si="5"/>
        <v>0.36264271787154789</v>
      </c>
      <c r="H43" s="5">
        <f>+'Rev, Exp, Cha Unrestricted'!H41+'Rev, Exp, Cha Federal Restrict'!H41+'Rev, Exp, Cha State Restr '!H41+'Rev, Exp, Cha Local Restr '!H41</f>
        <v>1320727.83</v>
      </c>
      <c r="J43" s="3">
        <f t="shared" si="6"/>
        <v>0.91324208713009414</v>
      </c>
      <c r="K43" s="16" t="s">
        <v>151</v>
      </c>
    </row>
    <row r="44" spans="1:11" x14ac:dyDescent="0.25">
      <c r="A44" s="4" t="s">
        <v>60</v>
      </c>
      <c r="B44" s="6">
        <f>+'Rev, Exp, Cha Unrestricted'!B42+'Rev, Exp, Cha Federal Restrict'!B42+'Rev, Exp, Cha State Restr '!B42+'Rev, Exp, Cha Local Restr '!B42</f>
        <v>2792606</v>
      </c>
      <c r="C44" s="6"/>
      <c r="D44" s="5">
        <f>+'Rev, Exp, Cha Unrestricted'!D42+'Rev, Exp, Cha Federal Restrict'!D42+'Rev, Exp, Cha State Restr '!D42+'Rev, Exp, Cha Local Restr '!D42</f>
        <v>1254363.08</v>
      </c>
      <c r="F44" s="3">
        <f t="shared" si="5"/>
        <v>0.44917295171606741</v>
      </c>
      <c r="H44" s="5">
        <f>+'Rev, Exp, Cha Unrestricted'!H42+'Rev, Exp, Cha Federal Restrict'!H42+'Rev, Exp, Cha State Restr '!H42+'Rev, Exp, Cha Local Restr '!H42</f>
        <v>1190937.8199999998</v>
      </c>
      <c r="J44" s="3">
        <f t="shared" si="6"/>
        <v>1.0532565671648586</v>
      </c>
      <c r="K44" s="16" t="s">
        <v>155</v>
      </c>
    </row>
    <row r="45" spans="1:11" x14ac:dyDescent="0.25">
      <c r="A45" s="4" t="s">
        <v>61</v>
      </c>
      <c r="B45" s="6">
        <f>+'Rev, Exp, Cha Unrestricted'!B43+'Rev, Exp, Cha Federal Restrict'!B43+'Rev, Exp, Cha State Restr '!B43+'Rev, Exp, Cha Local Restr '!B43</f>
        <v>7072862</v>
      </c>
      <c r="C45" s="6"/>
      <c r="D45" s="5">
        <f>+'Rev, Exp, Cha Unrestricted'!D43+'Rev, Exp, Cha Federal Restrict'!D43+'Rev, Exp, Cha State Restr '!D43+'Rev, Exp, Cha Local Restr '!D43</f>
        <v>4112551.3</v>
      </c>
      <c r="F45" s="3">
        <f t="shared" si="5"/>
        <v>0.58145504606197607</v>
      </c>
      <c r="H45" s="5">
        <f>+'Rev, Exp, Cha Unrestricted'!H43+'Rev, Exp, Cha Federal Restrict'!H43+'Rev, Exp, Cha State Restr '!H43+'Rev, Exp, Cha Local Restr '!H43</f>
        <v>2423891.88</v>
      </c>
      <c r="J45" s="3">
        <f t="shared" si="6"/>
        <v>1.6966727492812097</v>
      </c>
      <c r="K45" s="16" t="s">
        <v>160</v>
      </c>
    </row>
    <row r="46" spans="1:11" x14ac:dyDescent="0.25">
      <c r="A46" s="4" t="s">
        <v>62</v>
      </c>
      <c r="B46" s="6">
        <f>+'Rev, Exp, Cha Unrestricted'!B44+'Rev, Exp, Cha Federal Restrict'!B44+'Rev, Exp, Cha State Restr '!B44+'Rev, Exp, Cha Local Restr '!B44</f>
        <v>4835862</v>
      </c>
      <c r="C46" s="6"/>
      <c r="D46" s="5">
        <f>+'Rev, Exp, Cha Unrestricted'!D44+'Rev, Exp, Cha Federal Restrict'!D44+'Rev, Exp, Cha State Restr '!D44+'Rev, Exp, Cha Local Restr '!D44</f>
        <v>2097182.27</v>
      </c>
      <c r="F46" s="3">
        <f t="shared" si="5"/>
        <v>0.43367289430508982</v>
      </c>
      <c r="H46" s="5">
        <f>+'Rev, Exp, Cha Unrestricted'!H44+'Rev, Exp, Cha Federal Restrict'!H44+'Rev, Exp, Cha State Restr '!H44+'Rev, Exp, Cha Local Restr '!H44</f>
        <v>1785157.07</v>
      </c>
      <c r="J46" s="3">
        <f t="shared" si="6"/>
        <v>1.1747886531911726</v>
      </c>
      <c r="K46" s="16" t="s">
        <v>176</v>
      </c>
    </row>
    <row r="47" spans="1:11" x14ac:dyDescent="0.25">
      <c r="A47" s="4" t="s">
        <v>63</v>
      </c>
      <c r="B47" s="6">
        <f>+'Rev, Exp, Cha Unrestricted'!B45+'Rev, Exp, Cha Federal Restrict'!B45+'Rev, Exp, Cha State Restr '!B45+'Rev, Exp, Cha Local Restr '!B45</f>
        <v>3519258</v>
      </c>
      <c r="C47" s="6"/>
      <c r="D47" s="5">
        <f>+'Rev, Exp, Cha Unrestricted'!D45+'Rev, Exp, Cha Federal Restrict'!D45+'Rev, Exp, Cha State Restr '!D45+'Rev, Exp, Cha Local Restr '!D45</f>
        <v>3609354.19</v>
      </c>
      <c r="F47" s="3">
        <f t="shared" si="5"/>
        <v>1.0256009050771497</v>
      </c>
      <c r="H47" s="5">
        <f>+'Rev, Exp, Cha Unrestricted'!H45+'Rev, Exp, Cha Federal Restrict'!H45+'Rev, Exp, Cha State Restr '!H45+'Rev, Exp, Cha Local Restr '!H45</f>
        <v>3094935.1</v>
      </c>
      <c r="J47" s="3">
        <f t="shared" si="6"/>
        <v>1.1662132075079699</v>
      </c>
      <c r="K47" s="16" t="s">
        <v>183</v>
      </c>
    </row>
    <row r="48" spans="1:11" x14ac:dyDescent="0.25">
      <c r="A48" s="4" t="s">
        <v>64</v>
      </c>
      <c r="B48" s="6">
        <f>+'Rev, Exp, Cha Auxiliary'!B30</f>
        <v>3024121</v>
      </c>
      <c r="C48" s="6"/>
      <c r="D48" s="5">
        <f>+'Rev, Exp, Cha Auxiliary'!D30</f>
        <v>843686.76</v>
      </c>
      <c r="F48" s="3">
        <f t="shared" si="5"/>
        <v>0.2789857813229033</v>
      </c>
      <c r="H48" s="5">
        <f>+'Rev, Exp, Cha Auxiliary'!H30</f>
        <v>923940.19999999984</v>
      </c>
      <c r="J48" s="3">
        <f t="shared" si="6"/>
        <v>0.91314000624715774</v>
      </c>
      <c r="K48" s="16" t="s">
        <v>189</v>
      </c>
    </row>
    <row r="49" spans="1:11" x14ac:dyDescent="0.25">
      <c r="A49" s="4" t="s">
        <v>76</v>
      </c>
      <c r="B49" s="6">
        <f>+'Rev, Exp, Cha Unrestricted'!B47+'Rev, Exp, Cha Federal Restrict'!B47+'Rev, Exp, Cha State Restr '!B47+'Rev, Exp, Cha Local Restr '!B47</f>
        <v>1212037</v>
      </c>
      <c r="C49" s="6"/>
      <c r="D49" s="5">
        <f>+'Rev, Exp, Cha Unrestricted'!D47+'Rev, Exp, Cha Federal Restrict'!D47+'Rev, Exp, Cha State Restr '!D47+'Rev, Exp, Cha Local Restr '!D47</f>
        <v>443356.17</v>
      </c>
      <c r="F49" s="3">
        <f t="shared" si="5"/>
        <v>0.36579425380578312</v>
      </c>
      <c r="H49" s="5">
        <f>+'Rev, Exp, Cha Unrestricted'!H47+'Rev, Exp, Cha Federal Restrict'!H47+'Rev, Exp, Cha State Restr '!H47+'Rev, Exp, Cha Local Restr '!H47</f>
        <v>615290.29</v>
      </c>
      <c r="J49" s="3">
        <f t="shared" si="6"/>
        <v>0.7205642234334626</v>
      </c>
      <c r="K49" s="16" t="s">
        <v>191</v>
      </c>
    </row>
    <row r="50" spans="1:11" x14ac:dyDescent="0.25">
      <c r="A50" s="4" t="s">
        <v>50</v>
      </c>
      <c r="B50" s="6">
        <f>+'Rev, Exp, Cha Debt Service'!B40</f>
        <v>3049760</v>
      </c>
      <c r="C50" s="6"/>
      <c r="D50" s="5">
        <f>+'Rev, Exp, Cha Debt Service'!D40</f>
        <v>0</v>
      </c>
      <c r="F50" s="3">
        <f t="shared" si="5"/>
        <v>0</v>
      </c>
      <c r="H50" s="5">
        <f>+'Rev, Exp, Cha Debt Service'!H40</f>
        <v>0</v>
      </c>
      <c r="J50" s="3">
        <v>0</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41359982</v>
      </c>
      <c r="C52" s="6"/>
      <c r="D52" s="8">
        <f>SUM(D41:D51)</f>
        <v>18696346.560000002</v>
      </c>
      <c r="F52" s="3">
        <f t="shared" si="5"/>
        <v>0.45203952361487976</v>
      </c>
      <c r="H52" s="8">
        <f>SUM(H41:H51)</f>
        <v>15901273.510000002</v>
      </c>
      <c r="J52" s="3">
        <f t="shared" ref="J52" si="7">+(D52-H52)/H52+1</f>
        <v>1.1757766790340556</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306996</v>
      </c>
      <c r="C55" s="6"/>
      <c r="D55" s="5">
        <f>+'Rev, Exp, Cha Unrestricted'!D53+'Rev, Exp, Cha Federal Restrict'!D52+'Rev, Exp, Cha State Restr '!D52+'Rev, Exp, Cha Local Restr '!D52+'Rev, Exp, Cha Auxiliary'!D33+'Rev, Exp, Cha Debt Service'!D43</f>
        <v>123438.44</v>
      </c>
      <c r="F55" s="3">
        <f t="shared" ref="F55:F56" si="8">+(D55-B55)/B55+1</f>
        <v>0.40208484801104905</v>
      </c>
      <c r="H55" s="5">
        <f>+'Rev, Exp, Cha Unrestricted'!H53+'Rev, Exp, Cha Federal Restrict'!H52+'Rev, Exp, Cha State Restr '!H52+'Rev, Exp, Cha Local Restr '!H52+'Rev, Exp, Cha Auxiliary'!H33+'Rev, Exp, Cha Debt Service'!H43</f>
        <v>139494.22</v>
      </c>
      <c r="J55" s="3">
        <f t="shared" ref="J55:J56" si="9">+(D55-H55)/H55+1</f>
        <v>0.88490003385086491</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-565436</v>
      </c>
      <c r="F56" s="3">
        <f t="shared" si="8"/>
        <v>1.2792669683257918</v>
      </c>
      <c r="H56" s="8">
        <f>+'Rev, Exp, Cha Unrestricted'!H54+'Rev, Exp, Cha Federal Restrict'!H53+'Rev, Exp, Cha State Restr '!H53+'Rev, Exp, Cha Local Restr '!H53+'Rev, Exp, Cha Debt Service'!H44</f>
        <v>-581493</v>
      </c>
      <c r="J56" s="3">
        <f t="shared" si="9"/>
        <v>0.97238659794700877</v>
      </c>
    </row>
    <row r="57" spans="1:11" ht="16.5" x14ac:dyDescent="0.35">
      <c r="A57" s="56" t="s">
        <v>55</v>
      </c>
      <c r="B57" s="26">
        <f>SUM(B55:B56)</f>
        <v>-135004</v>
      </c>
      <c r="C57" s="6"/>
      <c r="D57" s="8">
        <f>SUM(D55:D56)</f>
        <v>-441997.56</v>
      </c>
      <c r="F57" s="3"/>
      <c r="G57" s="26">
        <f>SUM(G55:G56)</f>
        <v>0</v>
      </c>
      <c r="H57" s="8">
        <f>SUM(H55:H56)</f>
        <v>-441998.78</v>
      </c>
      <c r="J57" s="3"/>
    </row>
    <row r="58" spans="1:11" ht="3.95" customHeight="1" x14ac:dyDescent="0.25">
      <c r="B58" s="6"/>
      <c r="C58" s="6"/>
      <c r="D58" s="6"/>
      <c r="F58" s="3"/>
      <c r="H58" s="6"/>
      <c r="J58" s="3"/>
    </row>
    <row r="59" spans="1:11" ht="16.5" x14ac:dyDescent="0.35">
      <c r="A59" s="4" t="s">
        <v>397</v>
      </c>
      <c r="B59" s="34">
        <f>+B38-B52+B57</f>
        <v>0</v>
      </c>
      <c r="C59" s="6"/>
      <c r="D59" s="9">
        <f>+D38-D52+D57</f>
        <v>-387158.77000000089</v>
      </c>
      <c r="F59" s="3"/>
      <c r="H59" s="9">
        <f>+H38-H52+H57</f>
        <v>-272132.47000000323</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G79" sqref="G79"/>
    </sheetView>
  </sheetViews>
  <sheetFormatPr defaultRowHeight="15" x14ac:dyDescent="0.25"/>
  <cols>
    <col min="1" max="1" width="6.5703125" style="43" customWidth="1"/>
    <col min="2" max="2" width="33.28515625" style="2" customWidth="1"/>
    <col min="3" max="8" width="9.140625" style="2"/>
  </cols>
  <sheetData>
    <row r="1" spans="1:8" ht="15.75" x14ac:dyDescent="0.25">
      <c r="A1" s="131" t="s">
        <v>0</v>
      </c>
      <c r="B1" s="131"/>
      <c r="C1" s="131"/>
      <c r="D1" s="131"/>
      <c r="E1" s="131"/>
      <c r="F1" s="131"/>
      <c r="G1" s="131"/>
      <c r="H1" s="131"/>
    </row>
    <row r="2" spans="1:8" x14ac:dyDescent="0.25">
      <c r="A2" s="132" t="s">
        <v>395</v>
      </c>
      <c r="B2" s="132"/>
      <c r="C2" s="132"/>
      <c r="D2" s="132"/>
      <c r="E2" s="132"/>
      <c r="F2" s="132"/>
      <c r="G2" s="132"/>
      <c r="H2" s="132"/>
    </row>
    <row r="3" spans="1:8" x14ac:dyDescent="0.25">
      <c r="A3" s="133" t="str">
        <f>+'Statement of Net Position'!A3:E3</f>
        <v>December 31, 2023</v>
      </c>
      <c r="B3" s="133"/>
      <c r="C3" s="133"/>
      <c r="D3" s="133"/>
      <c r="E3" s="133"/>
      <c r="F3" s="133"/>
      <c r="G3" s="133"/>
      <c r="H3" s="133"/>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7" t="s">
        <v>205</v>
      </c>
      <c r="C9" s="137"/>
      <c r="D9" s="137"/>
      <c r="E9" s="137"/>
      <c r="F9" s="137"/>
      <c r="G9" s="137"/>
      <c r="H9" s="137"/>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7" t="s">
        <v>248</v>
      </c>
      <c r="C13" s="137"/>
      <c r="D13" s="137"/>
      <c r="E13" s="137"/>
      <c r="F13" s="137"/>
      <c r="G13" s="137"/>
      <c r="H13" s="137"/>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7" t="s">
        <v>249</v>
      </c>
      <c r="C18" s="137"/>
      <c r="D18" s="137"/>
      <c r="E18" s="137"/>
      <c r="F18" s="137"/>
      <c r="G18" s="137"/>
      <c r="H18" s="137"/>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7" t="s">
        <v>285</v>
      </c>
      <c r="C34" s="137"/>
      <c r="D34" s="137"/>
      <c r="E34" s="137"/>
      <c r="F34" s="137"/>
      <c r="G34" s="137"/>
      <c r="H34" s="137"/>
    </row>
    <row r="35" spans="1:8" s="65" customFormat="1" ht="15" customHeight="1" x14ac:dyDescent="0.25">
      <c r="B35" s="75" t="s">
        <v>121</v>
      </c>
    </row>
    <row r="36" spans="1:8" s="65" customFormat="1" ht="15" customHeight="1" x14ac:dyDescent="0.25">
      <c r="A36" s="64" t="s">
        <v>122</v>
      </c>
      <c r="B36" s="137" t="s">
        <v>250</v>
      </c>
      <c r="C36" s="137"/>
      <c r="D36" s="137"/>
      <c r="E36" s="137"/>
      <c r="F36" s="137"/>
      <c r="G36" s="137"/>
      <c r="H36" s="137"/>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6" t="s">
        <v>228</v>
      </c>
      <c r="C50" s="136"/>
      <c r="D50" s="136"/>
      <c r="E50" s="136"/>
      <c r="F50" s="136"/>
      <c r="G50" s="136"/>
      <c r="H50" s="136"/>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7" t="s">
        <v>64</v>
      </c>
      <c r="C66" s="137"/>
      <c r="D66" s="137"/>
      <c r="E66" s="137"/>
      <c r="F66" s="137"/>
      <c r="G66" s="137"/>
      <c r="H66" s="137"/>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7" t="s">
        <v>243</v>
      </c>
      <c r="C90" s="137"/>
      <c r="D90" s="137"/>
      <c r="E90" s="137"/>
      <c r="F90" s="137"/>
      <c r="G90" s="137"/>
      <c r="H90" s="137"/>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6" t="s">
        <v>286</v>
      </c>
      <c r="C103" s="136"/>
      <c r="D103" s="136"/>
      <c r="E103" s="136"/>
      <c r="F103" s="136"/>
      <c r="G103" s="136"/>
      <c r="H103" s="136"/>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6" t="s">
        <v>289</v>
      </c>
      <c r="C107" s="136"/>
      <c r="D107" s="136"/>
      <c r="E107" s="136"/>
      <c r="F107" s="136"/>
      <c r="G107" s="136"/>
      <c r="H107" s="136"/>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7" t="s">
        <v>245</v>
      </c>
      <c r="C185" s="137"/>
      <c r="D185" s="137"/>
      <c r="E185" s="137"/>
      <c r="F185" s="137"/>
      <c r="G185" s="137"/>
      <c r="H185" s="137"/>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4" t="s">
        <v>358</v>
      </c>
      <c r="C195" s="134"/>
      <c r="D195" s="134"/>
      <c r="E195" s="134"/>
      <c r="F195" s="134"/>
      <c r="G195" s="134"/>
      <c r="H195" s="134"/>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4" t="s">
        <v>246</v>
      </c>
      <c r="C200" s="134"/>
      <c r="D200" s="134"/>
      <c r="E200" s="134"/>
      <c r="F200" s="134"/>
      <c r="G200" s="134"/>
      <c r="H200" s="134"/>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200:H200"/>
    <mergeCell ref="B66:H66"/>
    <mergeCell ref="B90:H90"/>
    <mergeCell ref="B103:H103"/>
    <mergeCell ref="B107:H107"/>
    <mergeCell ref="B195:H195"/>
    <mergeCell ref="B185:H185"/>
    <mergeCell ref="B50:H50"/>
    <mergeCell ref="B34:H34"/>
    <mergeCell ref="A1:H1"/>
    <mergeCell ref="A2:H2"/>
    <mergeCell ref="A3:H3"/>
    <mergeCell ref="B9:H9"/>
    <mergeCell ref="B18:H18"/>
    <mergeCell ref="B13:H13"/>
    <mergeCell ref="B36:H36"/>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opLeftCell="A11" zoomScaleNormal="100" workbookViewId="0">
      <selection activeCell="G79" sqref="G79"/>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December 31, 2023</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44926</v>
      </c>
      <c r="K7" s="11"/>
    </row>
    <row r="8" spans="1:11" s="1" customFormat="1" x14ac:dyDescent="0.25">
      <c r="A8" s="4"/>
      <c r="B8" s="22" t="s">
        <v>33</v>
      </c>
      <c r="C8" s="80"/>
      <c r="D8" s="28" t="s">
        <v>35</v>
      </c>
      <c r="E8" s="87"/>
      <c r="F8" s="22" t="s">
        <v>33</v>
      </c>
      <c r="G8" s="87"/>
      <c r="H8" s="24">
        <f>+'Revenues, Expenditures, Changes'!H9</f>
        <v>44926</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2667222.92</v>
      </c>
      <c r="E10" s="4"/>
      <c r="F10" s="3">
        <f>+(D10-B10)/B10+1</f>
        <v>0.4999999850031287</v>
      </c>
      <c r="G10" s="4"/>
      <c r="H10" s="32">
        <v>2193900</v>
      </c>
      <c r="I10" s="4"/>
      <c r="J10" s="3">
        <f t="shared" ref="J10" si="0">+(D10-H10)/H10+1</f>
        <v>1.2157449838187702</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535421</v>
      </c>
      <c r="C12" s="6"/>
      <c r="D12" s="5">
        <v>535422</v>
      </c>
      <c r="E12" s="4"/>
      <c r="F12" s="3">
        <f>+(D12-B12)/B12+1</f>
        <v>1.0000018676891642</v>
      </c>
      <c r="G12" s="4"/>
      <c r="H12" s="5">
        <v>476388.82</v>
      </c>
      <c r="I12" s="4"/>
      <c r="J12" s="3">
        <f t="shared" ref="J12:J13" si="1">+(D12-H12)/H12+1</f>
        <v>1.1239180634003962</v>
      </c>
      <c r="K12" s="11"/>
    </row>
    <row r="13" spans="1:11" s="1" customFormat="1" x14ac:dyDescent="0.25">
      <c r="A13" s="10" t="s">
        <v>94</v>
      </c>
      <c r="B13" s="6">
        <v>200423</v>
      </c>
      <c r="C13" s="6"/>
      <c r="D13" s="5">
        <v>139908.32</v>
      </c>
      <c r="E13" s="4"/>
      <c r="F13" s="3">
        <f>+(D13-B13)/B13+1</f>
        <v>0.69806519211866913</v>
      </c>
      <c r="G13" s="4"/>
      <c r="H13" s="5">
        <v>173443.63</v>
      </c>
      <c r="I13" s="4"/>
      <c r="J13" s="3">
        <f t="shared" si="1"/>
        <v>0.8066500914446959</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1538379.5</v>
      </c>
      <c r="E15" s="4"/>
      <c r="F15" s="3">
        <f>+(D15-B15)/B15+1</f>
        <v>0.1119505859363914</v>
      </c>
      <c r="G15" s="4"/>
      <c r="H15" s="5">
        <v>1479191.15</v>
      </c>
      <c r="I15" s="4"/>
      <c r="J15" s="3">
        <f t="shared" ref="J15" si="2">+(D15-H15)/H15+1</f>
        <v>1.0400139968387454</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2585533.04</v>
      </c>
      <c r="E18" s="4"/>
      <c r="F18" s="3">
        <f>+(D18-B18)/B18+1</f>
        <v>0.6046450646696524</v>
      </c>
      <c r="G18" s="4"/>
      <c r="H18" s="5">
        <v>2830813.92</v>
      </c>
      <c r="I18" s="4"/>
      <c r="J18" s="3">
        <f t="shared" ref="J18:J22" si="3">+(D18-H18)/H18+1</f>
        <v>0.91335323093225429</v>
      </c>
      <c r="K18" s="11"/>
    </row>
    <row r="19" spans="1:11" s="1" customFormat="1" x14ac:dyDescent="0.25">
      <c r="A19" s="10" t="s">
        <v>43</v>
      </c>
      <c r="B19" s="6">
        <f>515915+196345+215000+35000+122400+496200+10955</f>
        <v>1591815</v>
      </c>
      <c r="C19" s="6"/>
      <c r="D19" s="5">
        <v>585150.94999999995</v>
      </c>
      <c r="E19" s="4"/>
      <c r="F19" s="3">
        <f>+(D19-B19)/B19+1</f>
        <v>0.36759984671585577</v>
      </c>
      <c r="G19" s="4"/>
      <c r="H19" s="5">
        <v>518636.18</v>
      </c>
      <c r="I19" s="4"/>
      <c r="J19" s="3">
        <f t="shared" si="3"/>
        <v>1.1282493828332609</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3303691.4</v>
      </c>
      <c r="E22" s="4"/>
      <c r="F22" s="3">
        <f>+(D22-B22)/B22+1</f>
        <v>0.66267966635054054</v>
      </c>
      <c r="G22" s="4"/>
      <c r="H22" s="5">
        <v>3326609.11</v>
      </c>
      <c r="I22" s="4"/>
      <c r="J22" s="3">
        <f t="shared" si="3"/>
        <v>0.99311078962325094</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-124502.91</v>
      </c>
      <c r="E25" s="4"/>
      <c r="F25" s="3">
        <f>+(D25-B25)/B25+1</f>
        <v>0.41500970000000004</v>
      </c>
      <c r="G25" s="4"/>
      <c r="H25" s="5">
        <v>-112362.66</v>
      </c>
      <c r="I25" s="4"/>
      <c r="J25" s="3">
        <f t="shared" ref="J25:J30" si="4">+(D25-H25)/H25+1</f>
        <v>1.1080452349561678</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207497.69</v>
      </c>
      <c r="E27" s="4"/>
      <c r="F27" s="3">
        <f>+(D27-B27)/B27+1</f>
        <v>0.47903022425789887</v>
      </c>
      <c r="G27" s="4"/>
      <c r="H27" s="5">
        <v>217817.86</v>
      </c>
      <c r="I27" s="4"/>
      <c r="J27" s="3">
        <f t="shared" si="4"/>
        <v>0.95262018458908748</v>
      </c>
      <c r="K27" s="11"/>
    </row>
    <row r="28" spans="1:11" s="1" customFormat="1" x14ac:dyDescent="0.25">
      <c r="A28" s="4" t="s">
        <v>47</v>
      </c>
      <c r="B28" s="6">
        <v>800000</v>
      </c>
      <c r="C28" s="6"/>
      <c r="D28" s="5">
        <v>203697.54</v>
      </c>
      <c r="E28" s="4"/>
      <c r="F28" s="3">
        <f>+(D28-B28)/B28+1</f>
        <v>0.25462192500000003</v>
      </c>
      <c r="G28" s="4"/>
      <c r="H28" s="5">
        <v>104032.47</v>
      </c>
      <c r="I28" s="4"/>
      <c r="J28" s="3">
        <f t="shared" si="4"/>
        <v>1.9580188762220103</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32593.83</v>
      </c>
      <c r="E30" s="4"/>
      <c r="F30" s="3">
        <f>+(D30-B30)/B30+1</f>
        <v>0.28628748353096178</v>
      </c>
      <c r="G30" s="4"/>
      <c r="H30" s="5">
        <v>42216.73</v>
      </c>
      <c r="I30" s="4"/>
      <c r="J30" s="3">
        <f t="shared" si="4"/>
        <v>0.77205956027385347</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365021</v>
      </c>
      <c r="C35" s="6"/>
      <c r="D35" s="33">
        <v>265545.65000000002</v>
      </c>
      <c r="E35" s="4"/>
      <c r="F35" s="3">
        <f>+(D35-B35)/B35+1</f>
        <v>0.72748047372616931</v>
      </c>
      <c r="G35" s="4"/>
      <c r="H35" s="33">
        <v>24962.16</v>
      </c>
      <c r="I35" s="4"/>
      <c r="J35" s="3">
        <f t="shared" ref="J35:J36" si="8">+(D35-H35)/H35+1</f>
        <v>10.637927567165663</v>
      </c>
      <c r="K35" s="38"/>
    </row>
    <row r="36" spans="1:11" s="1" customFormat="1" ht="16.5" x14ac:dyDescent="0.35">
      <c r="A36" s="80" t="s">
        <v>55</v>
      </c>
      <c r="B36" s="26">
        <f>SUM(B10:B35)</f>
        <v>31857201</v>
      </c>
      <c r="C36" s="6"/>
      <c r="D36" s="8">
        <f>SUM(D10:D35)</f>
        <v>11940139.93</v>
      </c>
      <c r="E36" s="4"/>
      <c r="F36" s="3">
        <f>+(D36-B36)/B36+1</f>
        <v>0.37480191464403922</v>
      </c>
      <c r="G36" s="4"/>
      <c r="H36" s="8">
        <f>SUM(H10:H35)</f>
        <v>11275649.369999999</v>
      </c>
      <c r="I36" s="4"/>
      <c r="J36" s="3">
        <f t="shared" si="8"/>
        <v>1.0589314671107053</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11479595</v>
      </c>
      <c r="C39" s="6"/>
      <c r="D39" s="90">
        <v>4269844.1500000004</v>
      </c>
      <c r="E39" s="4"/>
      <c r="F39" s="3">
        <f t="shared" ref="F39:F49" si="9">+(D39-B39)/B39+1</f>
        <v>0.37195076568467789</v>
      </c>
      <c r="G39" s="4"/>
      <c r="H39" s="90">
        <v>3889673.87</v>
      </c>
      <c r="I39" s="4"/>
      <c r="J39" s="3">
        <f t="shared" ref="J39:J50" si="10">+(D39-H39)/H39+1</f>
        <v>1.0977383432920047</v>
      </c>
      <c r="K39" s="11"/>
    </row>
    <row r="40" spans="1:11" s="1" customFormat="1" x14ac:dyDescent="0.25">
      <c r="A40" s="4" t="s">
        <v>58</v>
      </c>
      <c r="B40" s="6">
        <v>516211</v>
      </c>
      <c r="C40" s="6"/>
      <c r="D40" s="90">
        <v>97291.56</v>
      </c>
      <c r="E40" s="4"/>
      <c r="F40" s="3">
        <f t="shared" si="9"/>
        <v>0.18847246571653842</v>
      </c>
      <c r="G40" s="4"/>
      <c r="H40" s="90">
        <v>68271.899999999994</v>
      </c>
      <c r="I40" s="4"/>
      <c r="J40" s="3">
        <f t="shared" si="10"/>
        <v>1.4250600906082884</v>
      </c>
      <c r="K40" s="11"/>
    </row>
    <row r="41" spans="1:11" s="1" customFormat="1" x14ac:dyDescent="0.25">
      <c r="A41" s="4" t="s">
        <v>59</v>
      </c>
      <c r="B41" s="6">
        <v>3323908</v>
      </c>
      <c r="C41" s="6"/>
      <c r="D41" s="90">
        <v>1196353.81</v>
      </c>
      <c r="E41" s="4"/>
      <c r="F41" s="3">
        <f t="shared" si="9"/>
        <v>0.35992386371704632</v>
      </c>
      <c r="G41" s="4"/>
      <c r="H41" s="90">
        <v>1142945.33</v>
      </c>
      <c r="I41" s="4"/>
      <c r="J41" s="3">
        <f t="shared" si="10"/>
        <v>1.0467288142294611</v>
      </c>
      <c r="K41" s="11"/>
    </row>
    <row r="42" spans="1:11" s="1" customFormat="1" x14ac:dyDescent="0.25">
      <c r="A42" s="4" t="s">
        <v>60</v>
      </c>
      <c r="B42" s="6">
        <v>2562369</v>
      </c>
      <c r="C42" s="6"/>
      <c r="D42" s="90">
        <v>891009.89</v>
      </c>
      <c r="E42" s="4"/>
      <c r="F42" s="3">
        <f t="shared" si="9"/>
        <v>0.34772895316794739</v>
      </c>
      <c r="G42" s="4"/>
      <c r="H42" s="90">
        <v>891809.46</v>
      </c>
      <c r="I42" s="4"/>
      <c r="J42" s="3">
        <f t="shared" si="10"/>
        <v>0.99910342955994214</v>
      </c>
      <c r="K42" s="11"/>
    </row>
    <row r="43" spans="1:11" s="1" customFormat="1" x14ac:dyDescent="0.25">
      <c r="A43" s="4" t="s">
        <v>61</v>
      </c>
      <c r="B43" s="6">
        <v>6741947</v>
      </c>
      <c r="C43" s="6"/>
      <c r="D43" s="90">
        <v>2760790.96</v>
      </c>
      <c r="E43" s="4"/>
      <c r="F43" s="3">
        <f t="shared" si="9"/>
        <v>0.40949461038480428</v>
      </c>
      <c r="G43" s="4"/>
      <c r="H43" s="90">
        <v>2407600.37</v>
      </c>
      <c r="I43" s="4"/>
      <c r="J43" s="3">
        <f t="shared" si="10"/>
        <v>1.146698178983915</v>
      </c>
      <c r="K43" s="11"/>
    </row>
    <row r="44" spans="1:11" s="1" customFormat="1" x14ac:dyDescent="0.25">
      <c r="A44" s="4" t="s">
        <v>62</v>
      </c>
      <c r="B44" s="6">
        <v>4835862</v>
      </c>
      <c r="C44" s="6"/>
      <c r="D44" s="90">
        <v>2097182.27</v>
      </c>
      <c r="E44" s="4"/>
      <c r="F44" s="3">
        <f t="shared" si="9"/>
        <v>0.43367289430508982</v>
      </c>
      <c r="G44" s="4"/>
      <c r="H44" s="90">
        <v>1785157.07</v>
      </c>
      <c r="I44" s="4"/>
      <c r="J44" s="3">
        <f t="shared" si="10"/>
        <v>1.1747886531911726</v>
      </c>
      <c r="K44" s="11"/>
    </row>
    <row r="45" spans="1:11" s="1" customFormat="1" x14ac:dyDescent="0.25">
      <c r="A45" s="4" t="s">
        <v>63</v>
      </c>
      <c r="B45" s="6">
        <v>158000</v>
      </c>
      <c r="C45" s="6"/>
      <c r="D45" s="90">
        <v>71381.25</v>
      </c>
      <c r="E45" s="4"/>
      <c r="F45" s="3">
        <f t="shared" si="9"/>
        <v>0.45178006329113929</v>
      </c>
      <c r="G45" s="4"/>
      <c r="H45" s="90">
        <v>43729.35</v>
      </c>
      <c r="I45" s="4"/>
      <c r="J45" s="3">
        <f t="shared" si="10"/>
        <v>1.6323418939453709</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1212037</v>
      </c>
      <c r="C47" s="6"/>
      <c r="D47" s="5">
        <v>443356.17</v>
      </c>
      <c r="E47" s="4"/>
      <c r="F47" s="3">
        <f t="shared" si="9"/>
        <v>0.36579425380578312</v>
      </c>
      <c r="G47" s="4"/>
      <c r="H47" s="5">
        <v>615290.29</v>
      </c>
      <c r="I47" s="4"/>
      <c r="J47" s="3">
        <f t="shared" si="10"/>
        <v>0.7205642234334626</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30838980</v>
      </c>
      <c r="C50" s="6"/>
      <c r="D50" s="8">
        <f>SUM(D39:D49)</f>
        <v>11827210.059999999</v>
      </c>
      <c r="E50" s="4"/>
      <c r="F50" s="3">
        <f>+(D50-B50)/B50+1</f>
        <v>0.38351495607182851</v>
      </c>
      <c r="G50" s="4"/>
      <c r="H50" s="8">
        <f>SUM(H39:H49)</f>
        <v>10844477.640000001</v>
      </c>
      <c r="I50" s="4"/>
      <c r="J50" s="3">
        <f t="shared" si="10"/>
        <v>1.0906205400226172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-565436</v>
      </c>
      <c r="E54" s="4"/>
      <c r="F54" s="3">
        <f>+(D54-B54)/B54+1</f>
        <v>1.2792669683257918</v>
      </c>
      <c r="G54" s="4"/>
      <c r="H54" s="33">
        <v>-581493</v>
      </c>
      <c r="I54" s="4"/>
      <c r="J54" s="3">
        <f t="shared" ref="J54:J55" si="12">+(D54-H54)/H54+1</f>
        <v>0.97238659794700877</v>
      </c>
      <c r="K54" s="11"/>
    </row>
    <row r="55" spans="1:11" s="1" customFormat="1" ht="16.5" x14ac:dyDescent="0.35">
      <c r="A55" s="80" t="s">
        <v>55</v>
      </c>
      <c r="B55" s="26">
        <f>SUM(B53:B54)</f>
        <v>-442000</v>
      </c>
      <c r="C55" s="6"/>
      <c r="D55" s="8">
        <f>SUM(D53:D54)</f>
        <v>-565436</v>
      </c>
      <c r="E55" s="4"/>
      <c r="F55" s="3">
        <f>+(D55-B55)/B55+1</f>
        <v>1.2792669683257918</v>
      </c>
      <c r="G55" s="26">
        <f>SUM(G53:G54)</f>
        <v>0</v>
      </c>
      <c r="H55" s="8">
        <f>SUM(H53:H54)</f>
        <v>-581493</v>
      </c>
      <c r="I55" s="4"/>
      <c r="J55" s="3">
        <f t="shared" si="12"/>
        <v>0.97238659794700877</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-452506.12999999896</v>
      </c>
      <c r="E57" s="4"/>
      <c r="F57" s="4"/>
      <c r="G57" s="4"/>
      <c r="H57" s="9">
        <f>+H36-H50+H55</f>
        <v>-150321.27000000142</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G79" sqref="G79"/>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December 31, 2023</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44926</v>
      </c>
      <c r="K7" s="11"/>
    </row>
    <row r="8" spans="1:11" s="1" customFormat="1" x14ac:dyDescent="0.25">
      <c r="A8" s="4"/>
      <c r="B8" s="22" t="s">
        <v>33</v>
      </c>
      <c r="C8" s="80"/>
      <c r="D8" s="28" t="s">
        <v>35</v>
      </c>
      <c r="E8" s="87"/>
      <c r="F8" s="22" t="s">
        <v>33</v>
      </c>
      <c r="G8" s="87"/>
      <c r="H8" s="24">
        <f>+'Revenues, Expenditures, Changes'!H9</f>
        <v>44926</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3254261</v>
      </c>
      <c r="C31" s="6"/>
      <c r="D31" s="7">
        <v>3300758.5</v>
      </c>
      <c r="E31" s="4"/>
      <c r="F31" s="3">
        <f t="shared" si="0"/>
        <v>1.0142881901605312</v>
      </c>
      <c r="G31" s="4"/>
      <c r="H31" s="7">
        <v>2822601.61</v>
      </c>
      <c r="I31" s="4"/>
      <c r="J31" s="3">
        <f t="shared" ref="J31:J33" si="1">+D31/H31</f>
        <v>1.1694028970670076</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1033150</v>
      </c>
      <c r="C33" s="6"/>
      <c r="D33" s="97">
        <v>2375059.83</v>
      </c>
      <c r="E33" s="4"/>
      <c r="F33" s="3">
        <f>+(D33-B33)/B33+1</f>
        <v>2.2988528577650875</v>
      </c>
      <c r="G33" s="4"/>
      <c r="H33" s="8">
        <v>1051426.17</v>
      </c>
      <c r="I33" s="4"/>
      <c r="J33" s="3">
        <f t="shared" si="1"/>
        <v>2.2588935845110267</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4287411</v>
      </c>
      <c r="C36" s="6"/>
      <c r="D36" s="83">
        <f>SUM(D10:D35)</f>
        <v>5675818.3300000001</v>
      </c>
      <c r="E36" s="4"/>
      <c r="F36" s="3">
        <f>+(D36-B36)/B36+1</f>
        <v>1.3238335046488428</v>
      </c>
      <c r="G36" s="4"/>
      <c r="H36" s="8">
        <f>SUM(H10:H35)</f>
        <v>3874027.78</v>
      </c>
      <c r="I36" s="4"/>
      <c r="J36" s="3">
        <f t="shared" ref="J36" si="3">+D36/H36</f>
        <v>1.4650948966607567</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479248</v>
      </c>
      <c r="C39" s="6"/>
      <c r="D39" s="81">
        <v>668963.19999999995</v>
      </c>
      <c r="E39" s="4"/>
      <c r="F39" s="3">
        <f t="shared" ref="F39:F47" si="4">+(D39-B39)/B39+1</f>
        <v>1.3958601809501552</v>
      </c>
      <c r="G39" s="4"/>
      <c r="H39" s="81">
        <v>558223.80000000005</v>
      </c>
      <c r="I39" s="4"/>
      <c r="J39" s="3">
        <f t="shared" ref="J39:J49" si="5">+D39/H39</f>
        <v>1.1983781415267494</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2077</v>
      </c>
      <c r="C41" s="6"/>
      <c r="D41" s="81">
        <v>8624.6</v>
      </c>
      <c r="E41" s="4"/>
      <c r="F41" s="3">
        <f t="shared" si="4"/>
        <v>4.1524313914299471</v>
      </c>
      <c r="G41" s="4"/>
      <c r="H41" s="81">
        <v>177782.5</v>
      </c>
      <c r="I41" s="4"/>
      <c r="J41" s="3">
        <f t="shared" si="5"/>
        <v>4.8512086397705066E-2</v>
      </c>
      <c r="K41" s="11"/>
    </row>
    <row r="42" spans="1:11" s="1" customFormat="1" x14ac:dyDescent="0.25">
      <c r="A42" s="4" t="s">
        <v>60</v>
      </c>
      <c r="B42" s="6">
        <v>230237</v>
      </c>
      <c r="C42" s="6"/>
      <c r="D42" s="81">
        <v>363353.19</v>
      </c>
      <c r="E42" s="4"/>
      <c r="F42" s="3">
        <f t="shared" si="4"/>
        <v>1.5781702767148635</v>
      </c>
      <c r="G42" s="4"/>
      <c r="H42" s="81">
        <v>299128.36</v>
      </c>
      <c r="I42" s="4"/>
      <c r="J42" s="3">
        <f t="shared" si="5"/>
        <v>1.2147065895055889</v>
      </c>
      <c r="K42" s="11"/>
    </row>
    <row r="43" spans="1:11" s="1" customFormat="1" x14ac:dyDescent="0.25">
      <c r="A43" s="4" t="s">
        <v>61</v>
      </c>
      <c r="B43" s="6">
        <v>321588</v>
      </c>
      <c r="C43" s="6"/>
      <c r="D43" s="81">
        <v>1334118.8400000001</v>
      </c>
      <c r="E43" s="4"/>
      <c r="F43" s="3">
        <f t="shared" si="4"/>
        <v>4.148534273666928</v>
      </c>
      <c r="G43" s="4"/>
      <c r="H43" s="81">
        <v>16291.51</v>
      </c>
      <c r="I43" s="4"/>
      <c r="J43" s="3">
        <f t="shared" si="5"/>
        <v>81.890434956612381</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3254261</v>
      </c>
      <c r="C45" s="6"/>
      <c r="D45" s="82">
        <v>3300758.5</v>
      </c>
      <c r="E45" s="4"/>
      <c r="F45" s="3">
        <f t="shared" si="4"/>
        <v>1.0142881901605312</v>
      </c>
      <c r="G45" s="4"/>
      <c r="H45" s="82">
        <v>2822601.61</v>
      </c>
      <c r="I45" s="4"/>
      <c r="J45" s="3">
        <f t="shared" si="5"/>
        <v>1.1694028970670076</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4287411</v>
      </c>
      <c r="C49" s="6"/>
      <c r="D49" s="83">
        <f>SUM(D39:D48)</f>
        <v>5675818.3300000001</v>
      </c>
      <c r="E49" s="4"/>
      <c r="F49" s="3">
        <f>+(D49-B49)/B49+1</f>
        <v>1.3238335046488428</v>
      </c>
      <c r="G49" s="4"/>
      <c r="H49" s="83">
        <f>SUM(H39:H48)</f>
        <v>3874027.78</v>
      </c>
      <c r="I49" s="4"/>
      <c r="J49" s="3">
        <f t="shared" si="5"/>
        <v>1.4650948966607567</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G79" sqref="G79"/>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December 31, 2023</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44926</v>
      </c>
      <c r="K7" s="11"/>
      <c r="L7" s="11"/>
    </row>
    <row r="8" spans="1:12" s="1" customFormat="1" x14ac:dyDescent="0.25">
      <c r="A8" s="4"/>
      <c r="B8" s="22" t="s">
        <v>33</v>
      </c>
      <c r="C8" s="80"/>
      <c r="D8" s="28" t="s">
        <v>35</v>
      </c>
      <c r="E8" s="87"/>
      <c r="F8" s="22" t="s">
        <v>33</v>
      </c>
      <c r="G8" s="87"/>
      <c r="H8" s="24">
        <f>+'Revenues, Expenditures, Changes'!H9</f>
        <v>44926</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1</v>
      </c>
      <c r="C28" s="6"/>
      <c r="D28" s="7">
        <v>2.44</v>
      </c>
      <c r="E28" s="4"/>
      <c r="F28" s="3">
        <f t="shared" si="0"/>
        <v>2.44</v>
      </c>
      <c r="G28" s="4"/>
      <c r="H28" s="7">
        <v>1.22</v>
      </c>
      <c r="I28" s="4"/>
      <c r="J28" s="3">
        <f t="shared" ref="J28:J33" si="1">+D28/H28</f>
        <v>2</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34244</v>
      </c>
      <c r="C34" s="81"/>
      <c r="D34" s="98">
        <v>189587.64</v>
      </c>
      <c r="E34" s="4"/>
      <c r="F34" s="3">
        <f t="shared" ref="F34:F36" si="2">+(D34-B34)/B34+1</f>
        <v>5.5363754234318421</v>
      </c>
      <c r="G34" s="4"/>
      <c r="H34" s="98">
        <v>107991.01</v>
      </c>
      <c r="I34" s="4"/>
      <c r="J34" s="3">
        <f>+D34/H34</f>
        <v>1.7555872474940277</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34245</v>
      </c>
      <c r="C36" s="6"/>
      <c r="D36" s="8">
        <f>SUM(D10:D35)</f>
        <v>189590.08000000002</v>
      </c>
      <c r="E36" s="4"/>
      <c r="F36" s="3">
        <f t="shared" si="2"/>
        <v>5.5362850051102352</v>
      </c>
      <c r="G36" s="4"/>
      <c r="H36" s="8">
        <f>SUM(H10:H35)</f>
        <v>107992.23</v>
      </c>
      <c r="I36" s="4"/>
      <c r="J36" s="3">
        <f>+D36/H36</f>
        <v>1.7555900086515486</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24917</v>
      </c>
      <c r="C39" s="6"/>
      <c r="D39" s="5">
        <v>58172.58</v>
      </c>
      <c r="E39" s="4"/>
      <c r="F39" s="3">
        <f>+(D39-B39)/B39+1</f>
        <v>2.3346542521170286</v>
      </c>
      <c r="G39" s="4"/>
      <c r="H39" s="5">
        <v>18882.310000000001</v>
      </c>
      <c r="I39" s="4"/>
      <c r="J39" s="3">
        <f>+D39/H39</f>
        <v>3.0807978472972852</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9327</v>
      </c>
      <c r="C43" s="6"/>
      <c r="D43" s="5">
        <v>17641.5</v>
      </c>
      <c r="E43" s="4"/>
      <c r="F43" s="3">
        <f t="shared" si="4"/>
        <v>1.8914441942746865</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106997</v>
      </c>
      <c r="C45" s="6"/>
      <c r="D45" s="8">
        <v>237214.44</v>
      </c>
      <c r="E45" s="4"/>
      <c r="F45" s="3">
        <f t="shared" si="6"/>
        <v>2.2170195426039983</v>
      </c>
      <c r="G45" s="4"/>
      <c r="H45" s="8">
        <v>228604.14</v>
      </c>
      <c r="I45" s="4"/>
      <c r="J45" s="3">
        <f>+D45/H45</f>
        <v>1.0376646722145977</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141241</v>
      </c>
      <c r="C49" s="6"/>
      <c r="D49" s="8">
        <f>SUM(D39:D48)</f>
        <v>313028.52</v>
      </c>
      <c r="E49" s="4"/>
      <c r="F49" s="3">
        <f>+(D49-B49)/B49+1</f>
        <v>2.2162723288563519</v>
      </c>
      <c r="G49" s="4"/>
      <c r="H49" s="8">
        <f>SUM(H39:H48)</f>
        <v>247486.45</v>
      </c>
      <c r="I49" s="4"/>
      <c r="J49" s="3">
        <f>+D49/H49</f>
        <v>1.2648309432698235</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106996</v>
      </c>
      <c r="C52" s="6"/>
      <c r="D52" s="8">
        <v>123438.44</v>
      </c>
      <c r="E52" s="4"/>
      <c r="F52" s="3">
        <f>+(D52-B52)/B52+1</f>
        <v>1.1536734083517142</v>
      </c>
      <c r="G52" s="4"/>
      <c r="H52" s="8">
        <v>139494.22</v>
      </c>
      <c r="I52" s="4"/>
      <c r="J52" s="3">
        <f>+D52/H52</f>
        <v>0.88490003385086491</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106996</v>
      </c>
      <c r="C54" s="6"/>
      <c r="D54" s="8">
        <f>SUM(D52:D53)</f>
        <v>123438.44</v>
      </c>
      <c r="E54" s="4"/>
      <c r="F54" s="3"/>
      <c r="G54" s="26">
        <f>SUM(G52:G53)</f>
        <v>0</v>
      </c>
      <c r="H54" s="8">
        <f>SUM(H52:H53)</f>
        <v>139494.22</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G79" sqref="G79"/>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December 31, 2023</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44926</v>
      </c>
      <c r="K7" s="11"/>
      <c r="L7" s="11"/>
    </row>
    <row r="8" spans="1:12" s="1" customFormat="1" x14ac:dyDescent="0.25">
      <c r="A8" s="4"/>
      <c r="B8" s="22" t="s">
        <v>33</v>
      </c>
      <c r="C8" s="56"/>
      <c r="D8" s="28" t="s">
        <v>35</v>
      </c>
      <c r="E8" s="87"/>
      <c r="F8" s="22" t="s">
        <v>33</v>
      </c>
      <c r="G8" s="87"/>
      <c r="H8" s="24">
        <f>+'Revenues, Expenditures, Changes'!H9</f>
        <v>44926</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18469</v>
      </c>
      <c r="C35" s="6"/>
      <c r="D35" s="85">
        <v>36602.89</v>
      </c>
      <c r="E35" s="4"/>
      <c r="F35" s="3">
        <f>+(D35-B35)/B35+1+0.0008</f>
        <v>1.9826555417185552</v>
      </c>
      <c r="G35" s="4"/>
      <c r="H35" s="85">
        <v>11341.44</v>
      </c>
      <c r="I35" s="4"/>
      <c r="J35" s="3">
        <f t="shared" ref="J35:J36" si="1">+D35/H35</f>
        <v>3.2273582543310195</v>
      </c>
      <c r="K35" s="11"/>
      <c r="L35" s="11"/>
    </row>
    <row r="36" spans="1:12" s="1" customFormat="1" ht="16.5" x14ac:dyDescent="0.35">
      <c r="A36" s="56" t="s">
        <v>55</v>
      </c>
      <c r="B36" s="26">
        <f>SUM(B10:B35)</f>
        <v>18469</v>
      </c>
      <c r="C36" s="6"/>
      <c r="D36" s="8">
        <f>SUM(D10:D35)</f>
        <v>36602.89</v>
      </c>
      <c r="E36" s="4"/>
      <c r="F36" s="3">
        <f>+(D36-B36)/B36+1+0.0008</f>
        <v>1.9826555417185552</v>
      </c>
      <c r="G36" s="4"/>
      <c r="H36" s="8">
        <f>SUM(H10:H35)</f>
        <v>11341.44</v>
      </c>
      <c r="I36" s="4"/>
      <c r="J36" s="3">
        <f t="shared" si="1"/>
        <v>3.2273582543310195</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18469</v>
      </c>
      <c r="C39" s="6"/>
      <c r="D39" s="5">
        <v>35437.06</v>
      </c>
      <c r="E39" s="4"/>
      <c r="F39" s="3">
        <f>+(D39-B39)/B39+1</f>
        <v>1.9187319291786236</v>
      </c>
      <c r="G39" s="4"/>
      <c r="H39" s="5">
        <v>11341.44</v>
      </c>
      <c r="I39" s="4"/>
      <c r="J39" s="3">
        <f t="shared" ref="J39:J49" si="2">+D39/H39</f>
        <v>3.1245644292082835</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0</v>
      </c>
      <c r="C41" s="6"/>
      <c r="D41" s="8">
        <v>1165.83</v>
      </c>
      <c r="E41" s="4"/>
      <c r="F41" s="3">
        <v>0</v>
      </c>
      <c r="G41" s="4"/>
      <c r="H41" s="8">
        <v>0</v>
      </c>
      <c r="I41" s="4"/>
      <c r="J41" s="3">
        <v>0</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18469</v>
      </c>
      <c r="C49" s="6"/>
      <c r="D49" s="8">
        <f>SUM(D39:D48)</f>
        <v>36602.89</v>
      </c>
      <c r="E49" s="4"/>
      <c r="F49" s="3">
        <f>+(D49-B49)/B49+1+0.0008</f>
        <v>1.9826555417185552</v>
      </c>
      <c r="G49" s="4"/>
      <c r="H49" s="8">
        <f>SUM(H39:H48)</f>
        <v>11341.44</v>
      </c>
      <c r="I49" s="4"/>
      <c r="J49" s="3">
        <f t="shared" si="2"/>
        <v>3.2273582543310195</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3">+(D52-B52)/B52+1</f>
        <v>#DIV/0!</v>
      </c>
      <c r="G52" s="4"/>
      <c r="H52" s="5">
        <v>0</v>
      </c>
      <c r="I52" s="4"/>
      <c r="J52" s="3" t="e">
        <f t="shared" ref="J52:J53" si="4">+(H52-D52)/D52+1</f>
        <v>#DIV/0!</v>
      </c>
      <c r="K52" s="11"/>
      <c r="L52" s="11"/>
    </row>
    <row r="53" spans="1:12" s="1" customFormat="1" hidden="1" x14ac:dyDescent="0.25">
      <c r="A53" s="4" t="s">
        <v>67</v>
      </c>
      <c r="B53" s="27">
        <v>0</v>
      </c>
      <c r="C53" s="6"/>
      <c r="D53" s="33">
        <v>0</v>
      </c>
      <c r="E53" s="4"/>
      <c r="F53" s="4" t="e">
        <f t="shared" si="3"/>
        <v>#DIV/0!</v>
      </c>
      <c r="G53" s="4"/>
      <c r="H53" s="33">
        <v>0</v>
      </c>
      <c r="I53" s="4"/>
      <c r="J53" s="3" t="e">
        <f t="shared" si="4"/>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v>0</v>
      </c>
      <c r="E56" s="4"/>
      <c r="F56" s="4"/>
      <c r="G56" s="4"/>
      <c r="H56" s="9">
        <f>+H35-H39-H41</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G79" sqref="G79"/>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December 31, 2023</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44926</v>
      </c>
      <c r="K7" s="11"/>
    </row>
    <row r="8" spans="1:11" s="1" customFormat="1" x14ac:dyDescent="0.25">
      <c r="A8" s="4"/>
      <c r="B8" s="22" t="s">
        <v>33</v>
      </c>
      <c r="C8" s="56"/>
      <c r="D8" s="23" t="s">
        <v>35</v>
      </c>
      <c r="E8" s="87"/>
      <c r="F8" s="22" t="s">
        <v>33</v>
      </c>
      <c r="G8" s="87"/>
      <c r="H8" s="24">
        <f>+'Revenues, Expenditures, Changes'!H9</f>
        <v>44926</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587024.12</v>
      </c>
      <c r="E10" s="4"/>
      <c r="F10" s="3">
        <f>+D10/B10</f>
        <v>0.23980723068752807</v>
      </c>
      <c r="G10" s="4"/>
      <c r="H10" s="5">
        <v>514368.18</v>
      </c>
      <c r="I10" s="4"/>
      <c r="J10" s="3">
        <f>+D10/H10</f>
        <v>1.1412527890041722</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213.1</v>
      </c>
      <c r="E12" s="4"/>
      <c r="F12" s="3">
        <v>0</v>
      </c>
      <c r="G12" s="4"/>
      <c r="H12" s="8">
        <v>142.74</v>
      </c>
      <c r="I12" s="4"/>
      <c r="J12" s="3">
        <f>+D12/H12</f>
        <v>1.4929241978422305</v>
      </c>
      <c r="K12" s="11"/>
    </row>
    <row r="13" spans="1:11" s="1" customFormat="1" ht="16.5" x14ac:dyDescent="0.35">
      <c r="A13" s="56" t="s">
        <v>55</v>
      </c>
      <c r="B13" s="26">
        <f>SUM(B10:B12)</f>
        <v>2447900</v>
      </c>
      <c r="C13" s="6"/>
      <c r="D13" s="8">
        <f>SUM(D10:D12)</f>
        <v>587237.22</v>
      </c>
      <c r="E13" s="4"/>
      <c r="F13" s="3">
        <f>+D13/B13</f>
        <v>0.23989428489725886</v>
      </c>
      <c r="G13" s="4"/>
      <c r="H13" s="8">
        <f>SUM(H10:H12)</f>
        <v>514510.92</v>
      </c>
      <c r="I13" s="4"/>
      <c r="J13" s="3">
        <f>+D13/H13</f>
        <v>1.1413503526805611</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184533.97</v>
      </c>
      <c r="E16" s="4"/>
      <c r="F16" s="3">
        <f t="shared" ref="F16:F30" si="1">+D16/B16</f>
        <v>0.32513905284783473</v>
      </c>
      <c r="G16" s="4"/>
      <c r="H16" s="95">
        <v>181619.55</v>
      </c>
      <c r="I16" s="4"/>
      <c r="J16" s="3">
        <f t="shared" ref="J16:J30" si="2">+D16/H16</f>
        <v>1.0160468407723728</v>
      </c>
      <c r="K16" s="11"/>
    </row>
    <row r="17" spans="1:11" s="1" customFormat="1" x14ac:dyDescent="0.25">
      <c r="A17" s="4" t="s">
        <v>80</v>
      </c>
      <c r="B17" s="52">
        <v>201629</v>
      </c>
      <c r="C17" s="6"/>
      <c r="D17" s="5">
        <v>61132.38</v>
      </c>
      <c r="E17" s="4"/>
      <c r="F17" s="3">
        <f t="shared" si="1"/>
        <v>0.30319239791895014</v>
      </c>
      <c r="G17" s="4"/>
      <c r="H17" s="95">
        <v>60076.65</v>
      </c>
      <c r="I17" s="4"/>
      <c r="J17" s="3">
        <f t="shared" si="2"/>
        <v>1.017573050428078</v>
      </c>
      <c r="K17" s="11"/>
    </row>
    <row r="18" spans="1:11" s="1" customFormat="1" x14ac:dyDescent="0.25">
      <c r="A18" s="4" t="s">
        <v>81</v>
      </c>
      <c r="B18" s="52">
        <v>192919</v>
      </c>
      <c r="C18" s="6"/>
      <c r="D18" s="5">
        <v>65967.63</v>
      </c>
      <c r="E18" s="4"/>
      <c r="F18" s="3">
        <f t="shared" si="1"/>
        <v>0.34194470218070799</v>
      </c>
      <c r="G18" s="4"/>
      <c r="H18" s="95">
        <v>66160.89</v>
      </c>
      <c r="I18" s="4"/>
      <c r="J18" s="3">
        <f t="shared" si="2"/>
        <v>0.99707893893204891</v>
      </c>
      <c r="K18" s="11"/>
    </row>
    <row r="19" spans="1:11" s="1" customFormat="1" x14ac:dyDescent="0.25">
      <c r="A19" s="4" t="s">
        <v>82</v>
      </c>
      <c r="B19" s="52">
        <v>139323</v>
      </c>
      <c r="C19" s="6"/>
      <c r="D19" s="5">
        <v>53155.64</v>
      </c>
      <c r="E19" s="4"/>
      <c r="F19" s="3">
        <f t="shared" si="1"/>
        <v>0.38152810375889118</v>
      </c>
      <c r="G19" s="4"/>
      <c r="H19" s="95">
        <v>59686.31</v>
      </c>
      <c r="I19" s="4"/>
      <c r="J19" s="3">
        <f t="shared" si="2"/>
        <v>0.89058345205123257</v>
      </c>
      <c r="K19" s="11"/>
    </row>
    <row r="20" spans="1:11" s="1" customFormat="1" x14ac:dyDescent="0.25">
      <c r="A20" s="4" t="s">
        <v>83</v>
      </c>
      <c r="B20" s="52">
        <v>26850</v>
      </c>
      <c r="C20" s="6"/>
      <c r="D20" s="5">
        <v>11627.33</v>
      </c>
      <c r="E20" s="4"/>
      <c r="F20" s="3">
        <f t="shared" si="1"/>
        <v>0.43304767225325885</v>
      </c>
      <c r="G20" s="4"/>
      <c r="H20" s="95">
        <v>18332.97</v>
      </c>
      <c r="I20" s="4"/>
      <c r="J20" s="3">
        <f t="shared" si="2"/>
        <v>0.63423056929673693</v>
      </c>
      <c r="K20" s="11"/>
    </row>
    <row r="21" spans="1:11" s="1" customFormat="1" x14ac:dyDescent="0.25">
      <c r="A21" s="4" t="s">
        <v>88</v>
      </c>
      <c r="B21" s="52">
        <v>11815</v>
      </c>
      <c r="C21" s="6"/>
      <c r="D21" s="5">
        <v>4142.8</v>
      </c>
      <c r="E21" s="4"/>
      <c r="F21" s="3">
        <f t="shared" si="1"/>
        <v>0.35063901819720694</v>
      </c>
      <c r="G21" s="4"/>
      <c r="H21" s="95">
        <v>0</v>
      </c>
      <c r="I21" s="4"/>
      <c r="J21" s="3">
        <v>0</v>
      </c>
      <c r="K21" s="11"/>
    </row>
    <row r="22" spans="1:11" s="1" customFormat="1" x14ac:dyDescent="0.25">
      <c r="A22" s="4" t="s">
        <v>84</v>
      </c>
      <c r="B22" s="52">
        <v>14175</v>
      </c>
      <c r="C22" s="6"/>
      <c r="D22" s="5">
        <v>6367.3</v>
      </c>
      <c r="E22" s="4"/>
      <c r="F22" s="3">
        <f t="shared" si="1"/>
        <v>0.44919223985890655</v>
      </c>
      <c r="G22" s="4"/>
      <c r="H22" s="95">
        <v>6153.36</v>
      </c>
      <c r="I22" s="4"/>
      <c r="J22" s="3">
        <f t="shared" si="2"/>
        <v>1.0347679966717371</v>
      </c>
      <c r="K22" s="11"/>
    </row>
    <row r="23" spans="1:11" s="1" customFormat="1" x14ac:dyDescent="0.25">
      <c r="A23" s="4" t="s">
        <v>85</v>
      </c>
      <c r="B23" s="52">
        <v>4000</v>
      </c>
      <c r="C23" s="6"/>
      <c r="D23" s="5">
        <v>990.89</v>
      </c>
      <c r="E23" s="4"/>
      <c r="F23" s="3">
        <f t="shared" si="1"/>
        <v>0.24772249999999998</v>
      </c>
      <c r="G23" s="4"/>
      <c r="H23" s="95">
        <v>1577.98</v>
      </c>
      <c r="I23" s="4"/>
      <c r="J23" s="3">
        <f t="shared" si="2"/>
        <v>0.62794838971343103</v>
      </c>
      <c r="K23" s="11"/>
    </row>
    <row r="24" spans="1:11" s="1" customFormat="1" x14ac:dyDescent="0.25">
      <c r="A24" s="4" t="s">
        <v>86</v>
      </c>
      <c r="B24" s="52">
        <v>3000</v>
      </c>
      <c r="C24" s="6"/>
      <c r="D24" s="20">
        <v>1532.93</v>
      </c>
      <c r="E24" s="4"/>
      <c r="F24" s="3">
        <f t="shared" si="1"/>
        <v>0.51097666666666663</v>
      </c>
      <c r="G24" s="4"/>
      <c r="H24" s="95">
        <v>3242.14</v>
      </c>
      <c r="I24" s="4"/>
      <c r="J24" s="3">
        <f t="shared" si="2"/>
        <v>0.47281425231482915</v>
      </c>
      <c r="K24" s="11"/>
    </row>
    <row r="25" spans="1:11" s="1" customFormat="1" x14ac:dyDescent="0.25">
      <c r="A25" s="4" t="s">
        <v>87</v>
      </c>
      <c r="B25" s="52">
        <f>199300+100073</f>
        <v>299373</v>
      </c>
      <c r="C25" s="6"/>
      <c r="D25" s="5">
        <v>64356.42</v>
      </c>
      <c r="E25" s="4"/>
      <c r="F25" s="3">
        <f t="shared" si="1"/>
        <v>0.21497068873946548</v>
      </c>
      <c r="G25" s="4"/>
      <c r="H25" s="95">
        <v>60366.17</v>
      </c>
      <c r="I25" s="4"/>
      <c r="J25" s="3">
        <f t="shared" si="2"/>
        <v>1.0661007647163967</v>
      </c>
      <c r="K25" s="11"/>
    </row>
    <row r="26" spans="1:11" s="1" customFormat="1" x14ac:dyDescent="0.25">
      <c r="A26" s="4" t="s">
        <v>63</v>
      </c>
      <c r="B26" s="52">
        <v>42000</v>
      </c>
      <c r="C26" s="6"/>
      <c r="D26" s="5">
        <v>22586.5</v>
      </c>
      <c r="E26" s="4"/>
      <c r="F26" s="3">
        <f t="shared" si="1"/>
        <v>0.53777380952380949</v>
      </c>
      <c r="G26" s="4"/>
      <c r="H26" s="95">
        <v>18360</v>
      </c>
      <c r="I26" s="4"/>
      <c r="J26" s="3">
        <f t="shared" si="2"/>
        <v>1.2302015250544662</v>
      </c>
      <c r="K26" s="11"/>
    </row>
    <row r="27" spans="1:11" s="1" customFormat="1" x14ac:dyDescent="0.25">
      <c r="A27" s="4" t="s">
        <v>64</v>
      </c>
      <c r="B27" s="52">
        <v>1514880</v>
      </c>
      <c r="C27" s="6"/>
      <c r="D27" s="5">
        <v>360157.83</v>
      </c>
      <c r="E27" s="4"/>
      <c r="F27" s="3">
        <f t="shared" si="1"/>
        <v>0.23774677202154626</v>
      </c>
      <c r="G27" s="4"/>
      <c r="H27" s="95">
        <v>447004.61</v>
      </c>
      <c r="I27" s="4"/>
      <c r="J27" s="3">
        <f t="shared" si="2"/>
        <v>0.80571390527717379</v>
      </c>
      <c r="K27" s="11"/>
    </row>
    <row r="28" spans="1:11" s="1" customFormat="1" ht="16.5" x14ac:dyDescent="0.35">
      <c r="A28" s="4" t="s">
        <v>89</v>
      </c>
      <c r="B28" s="53">
        <v>6603</v>
      </c>
      <c r="C28" s="6"/>
      <c r="D28" s="8">
        <v>7135.14</v>
      </c>
      <c r="E28" s="4"/>
      <c r="F28" s="3">
        <f t="shared" si="1"/>
        <v>1.0805906406179011</v>
      </c>
      <c r="G28" s="4"/>
      <c r="H28" s="96">
        <v>1359.57</v>
      </c>
      <c r="I28" s="4"/>
      <c r="J28" s="3">
        <f t="shared" si="2"/>
        <v>5.2480857918312411</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843686.76</v>
      </c>
      <c r="E30" s="4"/>
      <c r="F30" s="3">
        <f t="shared" si="1"/>
        <v>0.27898578132290341</v>
      </c>
      <c r="G30" s="4"/>
      <c r="H30" s="8">
        <f>SUM(H16:H29)</f>
        <v>923940.19999999984</v>
      </c>
      <c r="I30" s="4"/>
      <c r="J30" s="3">
        <f t="shared" si="2"/>
        <v>0.91314000624715774</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-256449.54000000004</v>
      </c>
      <c r="E37" s="4"/>
      <c r="F37" s="4"/>
      <c r="G37" s="4"/>
      <c r="H37" s="9">
        <f>+H13-H30+H35</f>
        <v>-409429.27999999985</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2024-02-08T19:31:17Z</cp:lastPrinted>
  <dcterms:created xsi:type="dcterms:W3CDTF">2009-11-06T16:21:47Z</dcterms:created>
  <dcterms:modified xsi:type="dcterms:W3CDTF">2024-02-08T22:44:12Z</dcterms:modified>
</cp:coreProperties>
</file>